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Maksym1/Downloads/"/>
    </mc:Choice>
  </mc:AlternateContent>
  <xr:revisionPtr revIDLastSave="0" documentId="13_ncr:1_{75C06B6E-2E95-1D4D-9FDE-D624E9588625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2024" sheetId="5" r:id="rId1"/>
    <sheet name="2023" sheetId="4" r:id="rId2"/>
    <sheet name="2022" sheetId="3" r:id="rId3"/>
    <sheet name="2021" sheetId="2" r:id="rId4"/>
    <sheet name="2020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I11" i="5" s="1"/>
  <c r="K9" i="5"/>
  <c r="J9" i="5"/>
  <c r="K8" i="5"/>
  <c r="J7" i="5"/>
  <c r="I7" i="5" s="1"/>
  <c r="J6" i="5"/>
  <c r="I6" i="5" s="1"/>
  <c r="J5" i="5"/>
  <c r="I5" i="5" s="1"/>
  <c r="K4" i="5"/>
  <c r="J4" i="5"/>
  <c r="I4" i="5"/>
  <c r="K3" i="5"/>
  <c r="K14" i="5" s="1"/>
  <c r="J3" i="5"/>
  <c r="I3" i="5"/>
  <c r="J14" i="5" l="1"/>
  <c r="I14" i="5"/>
  <c r="K13" i="4" l="1"/>
  <c r="I13" i="4"/>
  <c r="K11" i="4"/>
  <c r="J11" i="4"/>
  <c r="K7" i="4"/>
  <c r="J7" i="4"/>
  <c r="K6" i="4"/>
  <c r="I6" i="4"/>
  <c r="K5" i="4"/>
  <c r="I5" i="4"/>
  <c r="K4" i="4"/>
  <c r="I4" i="4"/>
  <c r="K3" i="4"/>
  <c r="I3" i="4"/>
  <c r="J16" i="4" l="1"/>
  <c r="I16" i="4"/>
  <c r="K16" i="4"/>
  <c r="J28" i="3" l="1"/>
  <c r="K19" i="3"/>
  <c r="K16" i="3"/>
  <c r="J16" i="3"/>
  <c r="K12" i="3"/>
  <c r="J12" i="3"/>
  <c r="K11" i="3"/>
  <c r="J11" i="3"/>
  <c r="I11" i="3"/>
  <c r="I7" i="3"/>
  <c r="J4" i="3"/>
  <c r="K3" i="3"/>
  <c r="K41" i="3" s="1"/>
  <c r="I3" i="3"/>
  <c r="J41" i="3" l="1"/>
  <c r="I41" i="3"/>
  <c r="I30" i="1"/>
  <c r="J22" i="1"/>
  <c r="I22" i="1"/>
  <c r="K12" i="1"/>
  <c r="J12" i="1"/>
  <c r="K11" i="1"/>
  <c r="J11" i="1"/>
  <c r="K9" i="1"/>
  <c r="K8" i="1"/>
  <c r="J8" i="1"/>
  <c r="K7" i="1"/>
  <c r="J7" i="1"/>
  <c r="K6" i="1"/>
  <c r="J6" i="1"/>
  <c r="K5" i="1"/>
  <c r="J5" i="1"/>
  <c r="I5" i="1"/>
  <c r="J4" i="1"/>
  <c r="I4" i="1"/>
  <c r="I37" i="1" s="1"/>
  <c r="K3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K57" i="2"/>
  <c r="K55" i="2"/>
  <c r="K51" i="2"/>
  <c r="K38" i="2"/>
  <c r="K22" i="2"/>
  <c r="J22" i="2"/>
  <c r="K21" i="2"/>
  <c r="J21" i="2"/>
  <c r="K20" i="2"/>
  <c r="J20" i="2"/>
  <c r="K19" i="2"/>
  <c r="J19" i="2"/>
  <c r="K18" i="2"/>
  <c r="J18" i="2"/>
  <c r="K17" i="2"/>
  <c r="J17" i="2"/>
  <c r="K15" i="2"/>
  <c r="J15" i="2"/>
  <c r="J10" i="2"/>
  <c r="J9" i="2"/>
  <c r="K8" i="2"/>
  <c r="J8" i="2"/>
  <c r="K7" i="2"/>
  <c r="J7" i="2"/>
  <c r="J4" i="2"/>
  <c r="J3" i="2"/>
  <c r="K70" i="2" l="1"/>
  <c r="K37" i="1"/>
  <c r="J37" i="1"/>
</calcChain>
</file>

<file path=xl/sharedStrings.xml><?xml version="1.0" encoding="utf-8"?>
<sst xmlns="http://schemas.openxmlformats.org/spreadsheetml/2006/main" count="702" uniqueCount="332">
  <si>
    <t>№ п/п</t>
  </si>
  <si>
    <t>Найменування робіт</t>
  </si>
  <si>
    <t>№ договору</t>
  </si>
  <si>
    <t>Керівник</t>
  </si>
  <si>
    <t xml:space="preserve">Дата укладення угоди
</t>
  </si>
  <si>
    <t xml:space="preserve">Дата закінчення угоди
</t>
  </si>
  <si>
    <t>Сума, на яку укладено угоду, грн.</t>
  </si>
  <si>
    <t>План 2020 року, грн.</t>
  </si>
  <si>
    <t xml:space="preserve">Виконаний обсяг 2020(закрито актами)  </t>
  </si>
  <si>
    <t xml:space="preserve">Кошти 2020  </t>
  </si>
  <si>
    <t>Горизонт 2020 "NanoSurf: Розробка наноструктурної поверхні для виробництва зубних імплантів"</t>
  </si>
  <si>
    <t>Погорєлов М.В. (Яновська Г.А., Пернаков М)</t>
  </si>
  <si>
    <t>256500 євро</t>
  </si>
  <si>
    <t xml:space="preserve">Персоналізовані біоінженерні
скаффолди для остеохондральної регенерації, отримані методом адитивного виробництва з
покращеними властивостями поверхні
</t>
  </si>
  <si>
    <t>75/02.2020</t>
  </si>
  <si>
    <t>Погребняк О.Д. Погорєлов М.В.</t>
  </si>
  <si>
    <t>Київ</t>
  </si>
  <si>
    <t>31.12.2022</t>
  </si>
  <si>
    <t xml:space="preserve">Погорєлов М.В. </t>
  </si>
  <si>
    <t>Сучасні європейські тенденції в галузі біомедичної вищої освіти:біонаноматеріали</t>
  </si>
  <si>
    <t>620717-EPP-1-2020-1UA-EPPJMO-MODULE</t>
  </si>
  <si>
    <t xml:space="preserve">Олешко О.М.  </t>
  </si>
  <si>
    <t>Брюссель</t>
  </si>
  <si>
    <t>30000 євро</t>
  </si>
  <si>
    <t>Проведення вимірювань якості стічних вод</t>
  </si>
  <si>
    <t>60.12-2020.СП/02</t>
  </si>
  <si>
    <t>Олешко О.М.</t>
  </si>
  <si>
    <t>Суми</t>
  </si>
  <si>
    <t>Проведення вимірювань та визначення якості поверхневих ливневих вод (код за ДК 021:2015 – 90730000-3 «Відстеження, моніторинг забруднень і відновлення»</t>
  </si>
  <si>
    <t>60.12-2020.СП/22</t>
  </si>
  <si>
    <t>«Моніторинг стану підземних вод на майданчику ТЕЦ та золовідвалі ТОВ «Сумитеплоенерго». (код за ДК 021:2015 – 71700000-5 «Послуги з моніторингу та контролю»)</t>
  </si>
  <si>
    <t>60.12-2021.СП/01</t>
  </si>
  <si>
    <t xml:space="preserve">Олешко О.М. </t>
  </si>
  <si>
    <t>Проведення вимірювань якості ливневих та госпфекальних стоків для ТОВ «Сумитеплоенерго» (Код ДК 021:2015 – 90733100-5 – послуги з моніторингу чи контролю рівня забруднення поверхневих вод)</t>
  </si>
  <si>
    <t>60.12-2021.СП/02</t>
  </si>
  <si>
    <t>60.12-2021.СП/03</t>
  </si>
  <si>
    <t>Контроль гранично допустимих скидів з Локації АТ «Укртранснафта» у м. Суми (вул. Лебединська, 21) (код  ДК 021:2015-90490000-8 «Послуги з інспектування каналізаційних колекторів і консультаційні послуги з питань очищення стічних вод»)</t>
  </si>
  <si>
    <t>60.12-2021.СП/04</t>
  </si>
  <si>
    <t>Інструментальні виміри з метою визначення гранично допустимих концентрацій забруднюючих речових від організованих стаціонарних джерел та перевірки ефективності роботи газоочисних установок, а саме:  ГОУ – 4 шт.;  Заточувальний верстат – 3 шт.;  Котел (пал</t>
  </si>
  <si>
    <t>60.12-2021.СП/05</t>
  </si>
  <si>
    <t>Проведення вимірювань на ефективність роботи вентиляційної установки з метою визначення гранично допустимих концентрацій забруднюючих речових від організованих стаціонарних джерел та перевірки ефективності роботи вентиляційної установки (код за ДК 021:201</t>
  </si>
  <si>
    <t>60.12-2021.СП/06</t>
  </si>
  <si>
    <t>Лебедин</t>
  </si>
  <si>
    <t>Визначення концентрацій забруднюючих речовин в місці розташування МВВ (шламонакопичувача) на наявність викидів шкідливих речовин в атмосферне повітря, а саме сірчана кислота, соляна кислота, азоту оксид, нікель сірчанокислий (код за ДК 021:2015 – 90730000</t>
  </si>
  <si>
    <t>60.12-2021.СП/07</t>
  </si>
  <si>
    <t>Конотоп</t>
  </si>
  <si>
    <t>Визначення концентрації забруднюючих речовин викидів організованих стаціонарних джерел (код за ДК 021:2015 – 90730000-3 «Відстеження, моніторинг забруднень і відновлення»)</t>
  </si>
  <si>
    <t>60.12-2021.СП/08</t>
  </si>
  <si>
    <t>Глухівський р-н</t>
  </si>
  <si>
    <t>Проведення вимірювань та визначення:  якості ливневих та госпфекальних стоків (5 КК);  якості освітлення навчально-виховних приміщень (3 кімнати)  (код за ДК 021:2015 – 71700000-5 «Послуги з моніторингу та контролю») Сумської загальноосвітньої школи І-ІІІ</t>
  </si>
  <si>
    <t>60.12-2021.СП/09</t>
  </si>
  <si>
    <t>60.12-2021.СП/11</t>
  </si>
  <si>
    <t>Проведення лабораторного контролю: - стічних вод колекторних колодязів (2 колекторних колодязі (КК)), води питної (1 джерело) - рівня освітленості навчально-виховних приміщень (5кімнат), -показників мікроклімату навчально-виховних приміщень(6 кімнат) (код</t>
  </si>
  <si>
    <t>60.12-2021.СП/12</t>
  </si>
  <si>
    <t>Проведення  лабораторного контролю: 
- якості води у чаші басейну
- атмосферного повітря приміщення басейну
(код за ДК 021:2015 – 71700000-5 «Послуги з моніторингу та контролю») Сумської загальноосвітньої школи І-ІІІ ст. №17, м. Суми, Сумської області.</t>
  </si>
  <si>
    <t>60.12-2021.СП/13</t>
  </si>
  <si>
    <t>Проведення лабораторного контролю: - стічних вод колекторних колодязів (1 колекторних колодязі (КК)), води питної (1 джерело) - рівня освітленості навчально-виховних приміщень (4кімнат), -показників мікроклімату навчально-виховних приміщень(4 кімнат), яко</t>
  </si>
  <si>
    <t>60.12-2021.СП/15</t>
  </si>
  <si>
    <t xml:space="preserve">Проведення лабораторного контролю:  стічних вод колекторних колодязів (1 колекторний колодязь), води питної (2 джерела), рівня освітленості навчально-виховних приміщень (10 кімнат), показників мікроклімату навчально-виховних приміщень (2 кімнати), якості </t>
  </si>
  <si>
    <t>60.12-2021.СП/16</t>
  </si>
  <si>
    <t>Проведення аналіза стічних вод колекторних колодязів (1 колекторний колодязь (КК)); Послуги з лабораторного контролю, води питної (1 джерело); - рівня освітленості навчально-виховних приміщень (4 кімнати ),-показників мікроклімату навчально-виховних примі</t>
  </si>
  <si>
    <t>60.12-2021.СП/17</t>
  </si>
  <si>
    <t>Визначення концентрацій забруднюючих речовин в водах стічних; воді питній (2 свердловини);  пробах ґрунту (5 одиниць). Визначення ефективності газоочисних установок (5 одиниць) (код за ДК 021:2015 – 90730000-3 «Відстеження, моніторинг забруднень і відновл</t>
  </si>
  <si>
    <t>60.12-2021.СП/18</t>
  </si>
  <si>
    <t>Проведення  лабораторного контролю:   стічних вод колекторних колодязів;  води питної;  рівня освітленості навчально-виховних приміщень;  показників мікроклімату навчально-виховних приміщень;  яєць та личинок гельмінтів в піску  (код за ДК 021:2015 – 7170</t>
  </si>
  <si>
    <t>60.12-2021.СП/19</t>
  </si>
  <si>
    <t>Технологічна обробка Нано Графт (NanoGraft) NanoPrime в кількості 1 000 грам</t>
  </si>
  <si>
    <t>60.12-2021.СП/20</t>
  </si>
  <si>
    <t>Запоріжжя</t>
  </si>
  <si>
    <t>Проведення вимірювань, визначення концентрації забруднюючих речовин викидів організованих стаціонарних джерел та перевірки ефективності роботи газоочисних установок, а саме:  ГОУ від деревообробних верстатів – 1 шт;  опалювальний котел (паливо – природній</t>
  </si>
  <si>
    <t>60.12-2021.СП/21</t>
  </si>
  <si>
    <t>Визначення концентрації забруднюючих речовин викидів організованих стаціонарних джерел та ефективності газоочисних установок в загальній кількості 10 одиниць (код за ДК 021:2015 – 71700000-5 «Послуги з моніторингу та контролю»)</t>
  </si>
  <si>
    <t>60.12-2021.СП/21.</t>
  </si>
  <si>
    <t xml:space="preserve">Виконання інструментальних вимірів  з метою визначення гранично допустимих концентрацій забруднюючих речових від  стаціонарних джерел викидів (опалювальний котел – 14 шт., вентиляційна установка – 2 шт.) ( код за ДК 016:2010 – 71.12 «Послуги інженерні та </t>
  </si>
  <si>
    <t>60.12-2021.СП/22</t>
  </si>
  <si>
    <t>Сумська обл.</t>
  </si>
  <si>
    <t>Проведення  лабораторного контролю: - води питної (1 проба) - рівня освітленості навчально-виховних приміщень (3 кімнати); - показників мікроклімату навчально-виховних приміщень (3 кімнати); - яєць та личинок гельмінтів в піску (1 джерело)</t>
  </si>
  <si>
    <t>60.12-2021.СП/24</t>
  </si>
  <si>
    <t>Проведення  лабораторного контролю:  - води питної (1 джерело) - рівня освітленості навчально-виховних приміщень (4 кімнати); - показників мікроклімату навчально-виховних приміщень (3 кімнати)</t>
  </si>
  <si>
    <t>60.12-2021.СП/25</t>
  </si>
  <si>
    <t>Проведення  лабораторного контролю: - яєць та личинок гельмінтів в піску (3 джерела)</t>
  </si>
  <si>
    <t>60.12-2021.СП/26</t>
  </si>
  <si>
    <t xml:space="preserve"> Визначення концентрацій забруднюючих речових від  стаціонарних джерел викидів </t>
  </si>
  <si>
    <t>60.12-2021.СП/27</t>
  </si>
  <si>
    <t>Буринський р-н</t>
  </si>
  <si>
    <t>60.12-2021.СП/28</t>
  </si>
  <si>
    <t xml:space="preserve">Глухів </t>
  </si>
  <si>
    <t>Проведення вимірювань та визначення   якості ливневих та госпфекальних стоків;
- якості води питної;   - якості освітлення навчально-виховних приміщень;  
- параметрів мікроклімату навчально-виховних приміщень;  - яєць та личинок гельмінтів в піску   (код за ДК 021:2015 – 71900000-7 «Лабораторні дослідження») для Сумського дошкільного навчального закладу (центр розвитку дитини) №14 «Золотий півник» Сумської міської ради</t>
  </si>
  <si>
    <t>60.12-2021.СП/29/</t>
  </si>
  <si>
    <t>Виконання інструментальних вимірів  з метою визначення гранично допустимих концентрацій забруднюючих речових від  стаціонарних джерел викидів (опалювальний котел – 14 шт., вентиляційна установка – 2 шт.) ( код за ДК 016:2010 – 71.12 «Послуги інженерні та пов'язані з ними послуги щодо технічного консультування»)</t>
  </si>
  <si>
    <t>60.12-2021.СП/29</t>
  </si>
  <si>
    <t>Сумська обл</t>
  </si>
  <si>
    <t>Виконання інструментальних вимірів параметрів джерел викидів забруднюючих речовин  для ТОВ «БІЛОПІЛЬСЬКИЙ ЕЛЕВАТОР», (об’єкт: газоочисна установка – 3 шт.)</t>
  </si>
  <si>
    <t>60.12-2021.СП/30</t>
  </si>
  <si>
    <t>Білопілля</t>
  </si>
  <si>
    <t>Визначення концентрацій забруднюючих речовин викидів організованих стаціонарних джерел</t>
  </si>
  <si>
    <t>60.12-2021.СП/31</t>
  </si>
  <si>
    <t>Визначення ефективності ГОУ 1 шт (код за ДК 016:2010 – 71.12 «Послуги інженерні та пов'язані з ними послуги щодо технічного консультування»)</t>
  </si>
  <si>
    <t>60.12-2021.СП/32</t>
  </si>
  <si>
    <t>Визначення гранично допустимих концентрацій забруднюючих речових від організованих стаціонарних джерел та перевірка ефективності роботи газоочисних установок  ГОУ – 16 шт. (код за ДК 016:2010 – 71.12 «Послуги інженерні та пов'язані з ними послуги щодо технічного консультування»)</t>
  </si>
  <si>
    <t>60.12-2021.СП/33</t>
  </si>
  <si>
    <t>Свеса</t>
  </si>
  <si>
    <t>Проведення  лабораторного контролю: - води питної (1 джерело), - рівня освітленості навчальних приміщень (4 кімнати);- показників мікроклімату навчальних приміщень (3 кімнати); - якості повітря навчальних приміщень (3 кімнати);- визначення концентрації формальдегіду в повітрі навчальних приміщень (1 кімната) (код за ДК 021:2015 – 71700000-5 «Послуги з моніторингу та контролю») Сумської загальноосвітньої школи І-ІІІ ст. №6, м. Суми, Сумської області</t>
  </si>
  <si>
    <t>60.12-2021.СП/34</t>
  </si>
  <si>
    <t>Проведення  лабораторного контролю:  стічних вод колекторних колодязів (1 колекторний колодязь);  води питної (1 джерело);  рівня освітленості навчальних приміщень (8 кімнат); показників мікроклімату навчальних приміщень (1 кімната); якості повітря навчальних приміщень (1 кімната); (код за ДК 021:2015 – 71700000-5 «Послуги з моніторингу та контролю») Сумської загальноосвітньої школи І-ІІІ ст. №13, м. Суми, Сумської області</t>
  </si>
  <si>
    <t>60.12-2021.СП/35</t>
  </si>
  <si>
    <t>Проведення  лабораторного контролю: - води питної (1 джерело)  (код за ДК 021:2015 – 71700000-5 «Послуги з моніторингу та контролю»)</t>
  </si>
  <si>
    <t>60.12-2021.СП/36</t>
  </si>
  <si>
    <t>60.12-2021.СП/37</t>
  </si>
  <si>
    <t>Проведення  лабораторного контролю: стічних вод колекторних колодязів (1 колекторний колодязь); води питної (1 джерело);  рівня освітленості навчальних приміщень (6 кімнат); (код за ДК 021:2015 – 71700000-5 «Послуги з моніторингу та контролю»).</t>
  </si>
  <si>
    <t>60.12-2021.СП/38</t>
  </si>
  <si>
    <t>Проведення  лабораторного контролю стічних вод колекторних колодязів (1 колекторний колодязь (КК)) (код за ДК 021:2015 – 71700000-5 «Послуги з моніторингу та контролю»)</t>
  </si>
  <si>
    <t>60.12-2021.СП/39</t>
  </si>
  <si>
    <t>Виконання атестації робочих місць для Товариство з обмеженою відповідальністю НВП „КАРАТ-БурСервіс (код за ДК 021:2015 – 71700000-5 «Послуги з моніторингу та контролю»)</t>
  </si>
  <si>
    <t>60.12-2021.СП/40</t>
  </si>
  <si>
    <t>Охтирка</t>
  </si>
  <si>
    <t>Визначення концентрації забруднюючих речовин викидів організованих стаціонарних джерел в загальній кількості 2 одиниці (код за ДК 021:2015 – 71700000-5 «Послуги з моніторингу та контролю»)</t>
  </si>
  <si>
    <t>60.12-2021.СП/41</t>
  </si>
  <si>
    <t>Ромни</t>
  </si>
  <si>
    <t>Визначення концентрацій забруднюючих речовин в повітрі виробничих приміщень (2 робочих місця) (код за ДК 021:2015 – 90730000-3 «Відстеження, моніторинг забруднень і відновлення»)</t>
  </si>
  <si>
    <t>60.12-2021.СП/42</t>
  </si>
  <si>
    <t>Проведення вимірювань та визначення  якості освітлення навчально-виховних приміщень (3 кімнати);  води питної (1 джерело);  показників мікроклімату навчально-виховних приміщень (3 кімнати); (код за ДК 021:2015 – 71700000-5 «Послуги з моніторингу та контролю») Сумської загальноосвітньої школи І-ІІІ ст. №15 ім. Д. Турбіна  м. Суми, Сумської області.</t>
  </si>
  <si>
    <t>60.12-2021.СП/43</t>
  </si>
  <si>
    <t>виконання  науково-дослідних робіт по визначенню концентрацій забруднюючих речових від  стаціонарних джерел викидів та в атмосферному повітрі санітарної зони підприємства ( код за ДК 016:2010 – 71.12 «Послуги інженерні та пов'язані з ними послуги щодо технічного консультування»)</t>
  </si>
  <si>
    <t>60.12-2021.СП/44</t>
  </si>
  <si>
    <t>Визначення концентрацій забруднюючих речових від  стаціонарних джерел викидів  ( код за ДК 016:2010 – 71.12 «Послуги інженерні та пов'язані з ними послуги щодо технічного консультування»)</t>
  </si>
  <si>
    <t>60.12-2021.СП/45</t>
  </si>
  <si>
    <t>Глухів</t>
  </si>
  <si>
    <t xml:space="preserve">Проведення вимірювань та визначення 
- якості ливневих та госпфекальних стоків;
- якості води питної;  - якості освітлення навчально-виховних приміщень;  - параметрів мікроклімату навчально-виховних приміщень; 
- яєць та личинок гельмінтів в піску   (код за ДК 021:2015 – 71900000-7 «Лабораторні дослідження») для Сумського дошкільного навчального закладу (центр розвитку дитини) №28 «Ювілейний» Сумської міської ради </t>
  </si>
  <si>
    <t>60.12-2021.СП/46</t>
  </si>
  <si>
    <t xml:space="preserve"> виконання  науково-дослідних робіт по визначенню концентрації забруднюючих речовин викидів організованих стаціонарних джерел (3 одиниці) (код за ДК 021:2015 – 71700000-5 «Послуги з моніторингу та контролю»)</t>
  </si>
  <si>
    <t>60.12-2021.СП/47</t>
  </si>
  <si>
    <t>Виконання  науково-дослідних робіт по визначенню концентрацій забруднюючих речових від  стаціонарних джерел викидів та в атмосферному повітрі санітарної зони підприємства ( код за ДК 016:2010 – 71.12 «Послуги інженерні та пов'язані з ними послуги щодо технічного консультування»)</t>
  </si>
  <si>
    <t>60.12-2021.СП/48</t>
  </si>
  <si>
    <t>Шостка</t>
  </si>
  <si>
    <t xml:space="preserve">Виконати інструментальні виміри з метою визначення гранично допустимих концентрацій забруднюючих речовин від організованих стаціонарних джерел, а саме:
-      Котел (паливо природній газ) – 1 шт.;
-      Котел (паливо кам’яне вугілля) – 1 шт.  
-      Котел (паливо кам’яне вугілля з підсвіткою природнім газом) – 1 шт.  
(код за ДК 021:2015 71900000-7 «Лабораторні послуги»)
</t>
  </si>
  <si>
    <t>60.12-2021.СП/49</t>
  </si>
  <si>
    <t>Виконання  науково-дослідних робіт по визначенню концентрації забруднюючих речовин викидів організованих стаціонарних джерел (27 одиниць) (код за ДК 021:2015 – 71700000-5 «Послуги з моніторингу та контролю»)</t>
  </si>
  <si>
    <t>60.12-2021.СП/50</t>
  </si>
  <si>
    <t>Виконати інструментальні виміри з метою визначення гранично допустимих концентрацій забруднюючих речовин від організованих стаціонарних джерел, а саме:
-      Котел (паливо природній газ) – 1 шт.;
-      Котел (паливо кам’яне вугілля) – 1 шт.  
-      Котел (паливо кам’яне вугілля з підсвіткою природнім газом) – 1 шт.  
(код за ДК 021:2015 71900000-7 «Лабораторні послуги»)</t>
  </si>
  <si>
    <t>60.12-2021.СП/51</t>
  </si>
  <si>
    <t>Виконання інструментальних вимірів з метою визначення: граничнодопустимих концентрацій забруднюючих речовин від організованих стаціонарних джерел;  ефективності газоочисних установок; рівня шуму на робочих місцях  (код за ДК 021:2015 71900000-7 «Лабораторні послуги»)</t>
  </si>
  <si>
    <t>60.12-2021.СП/52</t>
  </si>
  <si>
    <t>Полтавська область</t>
  </si>
  <si>
    <t xml:space="preserve">Визначення:  концентрації забруднюючих речовин викидів організованих стаціонарних джерел в кількості 6 одиниць;  визначення рівня звукового навантаження в санітарній зоні підприємства
(код за ДК 021:2015 – 71700000-5 «Послуги з моніторингу та контролю»)
</t>
  </si>
  <si>
    <t>60.12-2021.СП/53</t>
  </si>
  <si>
    <t xml:space="preserve">Проведення  лабораторного контролю води питної   (код за ДК 021:2015 – 71700000-5 «Послуги з моніторингу та контролю») </t>
  </si>
  <si>
    <t>60.12-2021.СП/54</t>
  </si>
  <si>
    <t>Лебединський р-н</t>
  </si>
  <si>
    <t>Виконання  науково-дослідних робіт по визначенню концентрацій забруднюючих речових в атмосферному повітрі санітарної зони підприємства ( код за ДК 016:2010 – 71.12 «Послуги інженерні та пов'язані з ними послуги щодо технічного консультування»)</t>
  </si>
  <si>
    <t>60.12-2021.СП/55</t>
  </si>
  <si>
    <t>60.12-2021.СП/56</t>
  </si>
  <si>
    <t>60.12-2021.СП/57</t>
  </si>
  <si>
    <t>Проведення вимірів ефективності роботи 55  джерел викидів в рамках Заходів щодо здійснення контролю за дотриманням затверджених нормативів гранично допустимих викидів забруднюючих речовин згідно умов діючих дозволів на викиди забруднюючих речовин в атмосферне повітря стаціонарними джерелами з оформленням відповідних документів в рамках чинного законодавства України. Код за ДК 016:2010 -71.12 «Послуги інженерні та пов’язані з ними послуги з технічного консультування».</t>
  </si>
  <si>
    <t>60.12-2021.СП/58</t>
  </si>
  <si>
    <t>Лип Долина</t>
  </si>
  <si>
    <t>Проведення вимірювань та визначення:  якості рівня освітлення навчально-виховних приміщень; якості води питної; якості стічних вод; параметрів мікроклімату навчально - виховних приміщень; яєць та личинок гельмінтів в піску (код за ДК 021:2015-71700000-7 "Лабораторні дслідження" для Сумського багатопрофільного навчально-реабілітаційного центру №1 Сумської міської ради</t>
  </si>
  <si>
    <t>60.12-2021.СП/59</t>
  </si>
  <si>
    <t>Визначення концентрацій забруднюючих речових (оксид вуглецю,оксиди азоту, речовини у вигляді суспендованих твердих частинок,сірки діоксид, оксид сірки та НМЛОС) викидів організованих стаціонарних джерел - 13 ДВ та атмосферного повітря санітарної зони підприємства.( код за ДК 016:2010 – 71.12 «Послуги інженерні та пов'язані з ними послуги щодо технічного консультування»)</t>
  </si>
  <si>
    <t>60.12-2021.СП/59.</t>
  </si>
  <si>
    <t>Визначення концентрацій забруднюючих речовин викидів організованих стаціонарних джерел та атмосферного повітря санітарної зони підприємства. (код за ДК 021:2015 – 90700000-4 «Послуги у сфері охорони довкілля»)</t>
  </si>
  <si>
    <t>60.12-2021.СП/60</t>
  </si>
  <si>
    <t>Визначення концентрацій забруднюючих речовин викидів організованих стаціонарних джерел 13 одиниць (код за ДК 021:2015 – 90730000-3 «Відстеження, моніторинг забруднень і відновлення»).</t>
  </si>
  <si>
    <t>60.12-2021.СП/61</t>
  </si>
  <si>
    <t>Проведення лабораторного контролю стічних вод колекторних колодязів (2 колекторні колодязі (КК)) (код за ДК 021:2015 – 71700000-5 «Послуги з моніторингу та контролю»)</t>
  </si>
  <si>
    <t>60.12-2021.СП/63</t>
  </si>
  <si>
    <t>Виконання інструментальних вимірів параметрів джерел викидів забруднюючих речовин для ТОВ "Гухівський кар'єр кварцитів"</t>
  </si>
  <si>
    <t>60.12-2021.СП/64</t>
  </si>
  <si>
    <t>План 2021 року, грн.</t>
  </si>
  <si>
    <t xml:space="preserve">Виконаний обсяг 2021(закрито актами)  </t>
  </si>
  <si>
    <t xml:space="preserve">Кошти 2021  </t>
  </si>
  <si>
    <t>Економіка без вуглецю в ЄС: кращі практики для України</t>
  </si>
  <si>
    <t>Олешко О.М.  Дедух А.В.</t>
  </si>
  <si>
    <t>Моніторинг стану підземних вод на майданчику ТЕЦ та золовідвалі ТОВ "Сумитеплоенерго"</t>
  </si>
  <si>
    <t>60.12-2020.СП</t>
  </si>
  <si>
    <t>Проведення вимірювань якості ливневих та госпфекальних стоків для ТОВ "Сумитеплоенерго"</t>
  </si>
  <si>
    <t>62.20-2020.СП/01</t>
  </si>
  <si>
    <t>Виконання інструментальних вимірів параметрів джерел викидів забруднюючих речовин для  ТОВ "Індичка"</t>
  </si>
  <si>
    <t>60.12-2020.СП/04</t>
  </si>
  <si>
    <t>Кровне</t>
  </si>
  <si>
    <t xml:space="preserve">Інструментальні виміри проби грунтів -5, аналіз свердловини та каптажів підземних вододжерел, колекторні колодязі стічних вод </t>
  </si>
  <si>
    <t>60.12-2020.СП/05</t>
  </si>
  <si>
    <t>Проведення вимірювань якості ливневих та госпфекальних стоків, а також води питної для Сумського дошкільного навчального закладу (центр розвитку дитини) №14 «Золотий півник» Сумської міської ради (код за ДК 021:2015 – 71700000-5 «Послуги з моніторингу та контролю»)</t>
  </si>
  <si>
    <t>60.12-2020.СП/06</t>
  </si>
  <si>
    <t>Проведення вимірювань та визначення  якості ливневих та госпфекальних стоків; якості води питної;  якості освітлення навчально-виховних приміщень;  параметрів мікроклімату навчально-виховних приміщень; яєць та личинок гельмінтів в піску (код за ДК 021:2015 – 71700000-5 «Послуги з моніторингу та контролю») для Сумського дошкільного навчального закладу (ясла-садок) № 2 “Ясочка”.</t>
  </si>
  <si>
    <t>60.12-2020.СП/07</t>
  </si>
  <si>
    <t>Проведення вимірювань та визначення якості води питної  (код за ДК 021:2015 – 71700000-5 «Послуги з моніторингу та контролю») для Комунальної установи  Сумський спеціальний реабілітаційний навчально-виховний комплекс: “Загальноосвітня школа І ступеня-дошкільний навчальний заклад № 34.</t>
  </si>
  <si>
    <t>60.12-2020.СП/08</t>
  </si>
  <si>
    <t>Проведення вимірювань та визначення  якості води питної;  якості освітлення навчально-виховних приміщень;  параметрів мікроклімату навчально-виховних приміщень; яєць та личинок гельмінтів в піску (код за ДК 021:2015 – 71700000-5 «Послуги з моніторингу та контролю») для Сумського дошкільного навчального закладу (ясла-садок)  № 35 "Дюймовочка".</t>
  </si>
  <si>
    <t>60.12-2020.СП/09</t>
  </si>
  <si>
    <t>Проведення вимірювань та визначення: якості води питної;  якості освітлення навчально-виховних приміщень;   параметрів мікроклімату навчально-виховних приміщень;  яєць та личинок гельмінтів в піску  (код за ДК 021:2015 – 71700000-5 «Послуги з моніторингу та контролю») для Сумського дошкільного навчального закладу (ясла-садок) № 27 “Світанок”.</t>
  </si>
  <si>
    <t>60.12-2020.СП/10</t>
  </si>
  <si>
    <t>Проведення вимірювань та визначення якості ливневих та госпфекальних стоків  (код за ДК 021:2015 – 71700000-5 «Послуги з моніторингу та контролю») для Сумського дошкільного навчального закладу (центр розвитку дитини) №28 «Ювілейний» .</t>
  </si>
  <si>
    <t>60.12-2020.СП/11</t>
  </si>
  <si>
    <t>Проведення вимірювань та визначення якості ливневих та госпфекальних стоків  (код за ДК 021:2015 – 71700000-5 «Послуги з моніторингу та контролю») для Сумського дошкільного навчального закладу (ясла-садок) № 8 "Космічний".</t>
  </si>
  <si>
    <t>60.12-2020.СП/12</t>
  </si>
  <si>
    <t>Проведення вимірювань та визначення якості освітлення навчально-виховних приміщень (код за ДК 021:2015 – 71700000-5 «Послуги з моніторингу та контролю») для Сумської загальноосвітньої школи І-ІІІ ступенів №6, м. Суми, Сумської області.</t>
  </si>
  <si>
    <t>60.12-2020.СП/14</t>
  </si>
  <si>
    <t xml:space="preserve">Проведення вимірювань та визначення якості освітлення навчально-виховних приміщень (код за ДК 021:2015 – 71700000-5 «Послуги з моніторингу та контролю») КУ Сумський спеціальний реабілітаційний НВК "ЗОШ-ДНЗ" №34 СМР </t>
  </si>
  <si>
    <t>60.12-2020.СП/15</t>
  </si>
  <si>
    <t>Виконання інструментальних вимірів параметрів джерел викидів забруднюючих речовин для  ТОВ "Білопільський елеватор"</t>
  </si>
  <si>
    <t>60.12-2020.СП/20</t>
  </si>
  <si>
    <t>Виконання інструментальних вимірів параметрів джерел викидів забруднюючих речовин для  ТОВ фірма "Укрпромупровадження ЛТД"</t>
  </si>
  <si>
    <t>60.12-2020.СП/21</t>
  </si>
  <si>
    <t>Виконання ндр по визначенню концентрації забруднюючих речовин викидів організованних стаціонарних джерел (асфальтозмішувач 3 шт.)</t>
  </si>
  <si>
    <t>60.12-2020.СП/23</t>
  </si>
  <si>
    <t>Олешко О.М.
Кириленко С.Д.</t>
  </si>
  <si>
    <t>Виконання інструментальних вимірів параметрів джерел викидів забруднюючих речовин для комунального підприємства «Міськводоканал» Сумської міської ради згідно нижченаведеного переліку:  ГОУ-2 шт.;  Котел твердопаливний (дрова) -2 шт. Код за ДК 016:2010 -71.12 «Послуги інженерні та пов’язані з ними послуги з технічного консультування»</t>
  </si>
  <si>
    <t>62.12-2020.СП/23.</t>
  </si>
  <si>
    <t>Виконання ндр по визначенню концентрації забруднюючих речовин викидів організованних стаціонарних джерел для ДП "Краснопільське лісове господарство"</t>
  </si>
  <si>
    <t>60.12-2020.СП/24</t>
  </si>
  <si>
    <t>Виконання інструментальних вимірів параметрів джерел викидів забруднюючих речовин  для ТОВ «ГЛУХІВСЬКИЙ КАР'ЄР КВАРЦИТІВ»</t>
  </si>
  <si>
    <t>60.12-2020.СП/25</t>
  </si>
  <si>
    <t>60.12-2019.СП/28</t>
  </si>
  <si>
    <t>Проведення вимірів ефективності роботи 50 джерел викидів</t>
  </si>
  <si>
    <t>60.12-2020.СП/30</t>
  </si>
  <si>
    <t>Липова долина</t>
  </si>
  <si>
    <t>Проведення вимірювань та визначення: якості води питної;якості освітлення; якості освітлення навчально-виховних приміщень;   параметрів мікроклімату навчально-виховних приміщень;  яєць та личинок гельмінтів в піску  (код за ДК 021:2015 – 71700000-5 «Послуги з моніторингу та контролю») для Сумського дошкільного навчального закладу (ясла-садок) № 38 “Яблунька”.</t>
  </si>
  <si>
    <t>Комплексні послуги у галузі екології для підприємств установ організацій</t>
  </si>
  <si>
    <t>51.16-2019.СП/105</t>
  </si>
  <si>
    <t>Васькін Р.А.  Олешко О.М.</t>
  </si>
  <si>
    <t xml:space="preserve"> Інвентаризація викидів забруднюючих речовин від стаціонарних джерел для ТОВ "ВВ АГРО-СТЕН"  Підготовка документів, у яких обґрунтовуються обсяги викидів для отримання дозволу на викиди забруднюючих речовин в атмосферне повітря стаціонарними джерелами для</t>
  </si>
  <si>
    <t>51.16-2020.СП/04</t>
  </si>
  <si>
    <t>Лазненко Д.О.  Олешко О.М.</t>
  </si>
  <si>
    <t>Верхня Сироватка</t>
  </si>
  <si>
    <t xml:space="preserve">Інвентаризація викидів забруднюючих речовин від стаціонарних джерел для Сумського національного аграрного університету. Підготовка документів, у яких обгрунтовуються обсяги викидів для отримання дозволу на викиди забруднюючих речовин в атмосферне плвітря </t>
  </si>
  <si>
    <t>51.16-2020.СП/06</t>
  </si>
  <si>
    <t xml:space="preserve">Лазненко Д.О. </t>
  </si>
  <si>
    <t>Здійснення контрлю газоочистних установок. Складання паспортів установки очистки газу</t>
  </si>
  <si>
    <t>51.16-2020.СП/11</t>
  </si>
  <si>
    <t xml:space="preserve">Інвентаризація викидів забруднюючих речовин від стаціонарних джерел для ПП "КФ Консалтинг" (один твердопаливний котел). Підготовка документів, у яких обгрунтовуються обсяги викидів для отримання дозволу на викиди забруднюючих речовин в атмосферне повітря </t>
  </si>
  <si>
    <t>51.16-2020.СП/13</t>
  </si>
  <si>
    <t>Інвентаризація викидів забруднюючих речовин від стаціонарних джерел для КНП ЦМЛ СМР Документи, у яких обгрунтовуються обсяги викидів для отримання дозволу на викиди забруднюючих речовин в атмосферне плвітря стаціонарними джерелами для підприємств, установ організацій та громадян-підприємців КНП ЦМЛ СМР</t>
  </si>
  <si>
    <t>51.16-2020.СП/31</t>
  </si>
  <si>
    <t>Виконання інструментальних вимірів параметрів джерел викидів забруднюючих речовин для  ТОВ "Сумитеплоенерго"</t>
  </si>
  <si>
    <t>60.12-2019.СП/09</t>
  </si>
  <si>
    <t>Всього</t>
  </si>
  <si>
    <t>777926              (Н2020-MSCA-RISE-2017)</t>
  </si>
  <si>
    <t>Погорєлов М.В. (Пермяков)</t>
  </si>
  <si>
    <t>На шляху до біомедичних застосувань Мхене за допомогою багатовимірного імунного картування</t>
  </si>
  <si>
    <t xml:space="preserve">101086184 — MX-MAP — HORIZON-MSCA-2021-SE-01
</t>
  </si>
  <si>
    <t>Корнієнко В.В.</t>
  </si>
  <si>
    <t>ЄС</t>
  </si>
  <si>
    <t>248400 євро</t>
  </si>
  <si>
    <t>Циклічні рішення у біомедицині</t>
  </si>
  <si>
    <t>ERASMUS-JMO-2022-HEI-TCH-RSCH 1010085451-CIRCUMED</t>
  </si>
  <si>
    <t>Кириленко С.Д.</t>
  </si>
  <si>
    <t>60.12-2022.СП/01</t>
  </si>
  <si>
    <t>60.12-2022.СП/02</t>
  </si>
  <si>
    <t>Виконання інструментальних вимірів параметрів джерел викидів забруднюючих речовин для ДП Краснопільське лісове господарство</t>
  </si>
  <si>
    <t>60.12-2022.СП/03</t>
  </si>
  <si>
    <t>Краснопілля</t>
  </si>
  <si>
    <t>Проведення лабораторно контролю якості води у чаші басейну атмосферного повітря приміщення басейну</t>
  </si>
  <si>
    <t>60.12-2022.СП/04</t>
  </si>
  <si>
    <t>60.12-2022.СП/05</t>
  </si>
  <si>
    <t>Проведення  лабораторного контролю: - води питної (1 джерело), - рівня освітленості навчальних приміщень (4 кімнати);- показників мікроклімату навчальних приміщень (3 кімнати); - якості повітря навчальних приміщень (3 кімнати);- визначення концентрації фо</t>
  </si>
  <si>
    <t>60.12-2022.СП/06</t>
  </si>
  <si>
    <t>60.12-2022.СП/07</t>
  </si>
  <si>
    <t>60.12-2022.СП/08</t>
  </si>
  <si>
    <t xml:space="preserve">Визначення концентрацій забруднюючих речовин в водах стічних; воді питній (2 свердловини);  пробах ґрунту (5 одиниць), в атмосферному повітрі санітарної зони підприємства (2 одиниці), важкості та напруженості праці на робочих місцях (2 одиниці).
(код за ДК 021:2015 – 90730000-3 «Відстеження, моніторинг забруднень і відновлення»)
</t>
  </si>
  <si>
    <t>60.12-2022.СП/09</t>
  </si>
  <si>
    <t>Визначення концентрації забруднюючих речовин в викидах організованих стаціонарних джерел (код за ДК 016:2010 – 71.12 «Послуги інженерні та пов'язані з ними послуги щодо технічного консультування»)</t>
  </si>
  <si>
    <t>60.12-2022.СП/10.</t>
  </si>
  <si>
    <t>Перевірка ефективності роботи газоочисних установовк ГОУ  4, заточувальний верстат -3 , котел 6 шт, котел 3 шт</t>
  </si>
  <si>
    <t>60.12-2022.СП/10</t>
  </si>
  <si>
    <t>60.12-2022.СП/12</t>
  </si>
  <si>
    <t>60.12-2022.СП/13</t>
  </si>
  <si>
    <t>Проведення  лабораторних досліджень, а саме: 
- визначення рівня звуку та вібрації (5 кімнат)
- визначення  рівня освітленості на робочих місцях (48 одиниць) (код за ДК 021:2015 – 71700000-5 «Послуги з моніторингу та контролю») Комунальної установи Сумська спеціалізована школа І-ІІІ ступенів №7 імені Максима Савченка Сумської міської ради</t>
  </si>
  <si>
    <t>60.12-2022.СП/14</t>
  </si>
  <si>
    <t>Проведення вимірювань, визначення концентрації забруднюючих речовин викидів організованих стаціонарних джерел та перевірки ефективності роботи газоочисних установок, а саме:
- ГОУ від деревообробних верстатів – 1 шт;
- Опалювальний котел (тверде паливо – дрова) – 5 шт;
- Опалювальний котел (тверде паливо – кам’яне вугілля) – 5 шт.</t>
  </si>
  <si>
    <t>60.12-2022.СП/16</t>
  </si>
  <si>
    <t>60.12-2022.СП/20</t>
  </si>
  <si>
    <t>Проведення  лабораторного контролю: 
- стічних вод колекторних колодязів (5 колекторних колодязів)
- рівня освітленості навчально-виховних приміщень (3 кімнати);
- показників мікроклімату навчально-виховних приміщень (3 кімнати);
- якості повітря навчально-виховних приміщень (3 кімнати);
- якості води питної 
(код за ДК 021:2015 – 71700000-5 «Послуги з моніторингу та контролю») Комунальної установи Сумська загальноосвітня школа І-ІІІ ст. №15 ім. Д. Турбіна  м. Суми, Сумської області</t>
  </si>
  <si>
    <t>60.12-2022.СП/21</t>
  </si>
  <si>
    <t>Проведення  лабораторного контролю: 
- води питної;
- стічних вод;
- рівня вуличного освітлення та освітленості навчальних приміщень;
- показників мікроклімату навчальних приміщень;
- якості повітря навчальних приміщень;
- визначення концентрації формальдегіду та родону 222 в повітрі навчальних приміщень;
- рівень звуку та вібрацій навчальних приміщень;
- рівень електромагнітних коливань навчальних приміщень;
 (код за ДК 021:2015 – 71700000-5 «Послуги з моніторингу та контролю») Сумської загальн</t>
  </si>
  <si>
    <t>60.12-2022.СП/22</t>
  </si>
  <si>
    <t>60.12-2022.СП/23</t>
  </si>
  <si>
    <t xml:space="preserve"> Проведення вимірювань та визначення 
- якості ливневих та госпфекальних стоків;
- якості освітлення навчально-виховних приміщень (6 кімнат); 
- параметрів мікроклімату навчально-виховних приміщень (6</t>
  </si>
  <si>
    <t>60.12-2022.СП/24</t>
  </si>
  <si>
    <t>Проведення вимірювань та визначення якості води питної, якості освітлення параметрів мікроклімату нвп, яєць та личинок гельмінтів у піску для СДНЗ (ясла-садок) № 35 Дюймовочка</t>
  </si>
  <si>
    <t>60.12-2022.СП/25</t>
  </si>
  <si>
    <t>проведення  контролю за якістю стічних вод, відбору проб та їх хімічного аналізу для Сумського дошкільного навчального закладу (ясла-садок) № 38 "Яблунька" Сумської  міської ради.  Код  ДК 021:2015 – 71610000-7: Послуги з випробувань та аналізу складу і чистоти.</t>
  </si>
  <si>
    <t>60.12-2022.СП/27</t>
  </si>
  <si>
    <t>60.12-2022.СП/28</t>
  </si>
  <si>
    <t>Виконання ндр по визначенню концентрації забруднюючих речовин викидів забруднюючих речовин організованних стаціонарних джерел (3 одиниці)</t>
  </si>
  <si>
    <t>60.12-2022.СП/30</t>
  </si>
  <si>
    <t>60.12-2022.СП/31</t>
  </si>
  <si>
    <t>Визначення концентрацій забруднюючих речовин викидів організованних стаціонарних джерел та атмосферного повітря санітарної зони підприємства</t>
  </si>
  <si>
    <t>60.12-2022.СП/34</t>
  </si>
  <si>
    <t>Липова Долтна</t>
  </si>
  <si>
    <t>60.12-2022.СП/35</t>
  </si>
  <si>
    <t>60.12-2022.СП/35/</t>
  </si>
  <si>
    <t>60.12-2022.СП/36</t>
  </si>
  <si>
    <t>План 2022 року, грн.</t>
  </si>
  <si>
    <t xml:space="preserve">Виконаний обсяг 2022(закрито актами)  </t>
  </si>
  <si>
    <t xml:space="preserve">Кошти 2022  </t>
  </si>
  <si>
    <t>План 2023 року, грн.</t>
  </si>
  <si>
    <t xml:space="preserve">Виконаний обсяг 2023 (закрито актами)  </t>
  </si>
  <si>
    <t xml:space="preserve">Кошти 2023  </t>
  </si>
  <si>
    <t>Погорєлов М.В. Яновська Г.О. Сікора В.З.</t>
  </si>
  <si>
    <t>Розробка нової антибактеріальної стратегії для стоматології</t>
  </si>
  <si>
    <t>101086441-ARGO-HORIZON-MSCA-2021-SE-01</t>
  </si>
  <si>
    <t>Москаленко Р.А. Погорєлов М.В.</t>
  </si>
  <si>
    <t>322 000 євро</t>
  </si>
  <si>
    <t>Електропровідні полімерні 3D-скаффолди як нові стратегії для біомедичних застосувань» програми ЄС Горизонт Європа</t>
  </si>
  <si>
    <t>101131147-ESCULAPE</t>
  </si>
  <si>
    <t>207000 євро</t>
  </si>
  <si>
    <t>50000 євро</t>
  </si>
  <si>
    <t>Впровадження 2D двошарових наномембран для керованої регенерації тканин при ендоперіодонтитах та периімплантиті</t>
  </si>
  <si>
    <t>М/46-2023</t>
  </si>
  <si>
    <t>Україна Латвія</t>
  </si>
  <si>
    <t>Багатошарові нітридні покриття (TiNbMoTaW)N/WS2 на основі високоентропійного сплаву</t>
  </si>
  <si>
    <t>М/71-2023</t>
  </si>
  <si>
    <t>Погребняк О.Д.</t>
  </si>
  <si>
    <t>Україна Китай</t>
  </si>
  <si>
    <t>52/0223</t>
  </si>
  <si>
    <t>Визначення біосумісності та загальної токсичності різних груп наноматеріалів біомедичного призначення</t>
  </si>
  <si>
    <t>РН/10-2023</t>
  </si>
  <si>
    <t>ДК021:2015 (CPV) 73210000-7 Консультаційні послуги у сфері наукових досліджень, 73300000-5 Проектування та виконання НДДКР «Підготовка біоаптатів для мікроструктурних досліджень зони кісткового дефекту після імплантації біоактивної кераміки різного функціонального призначення в кістку кролів»</t>
  </si>
  <si>
    <t>43/2023</t>
  </si>
  <si>
    <t>Фальсифікація продукції та сталий розвиток: Європейський досвід вирішення проблеми» програми ЄС Еразмус+</t>
  </si>
  <si>
    <t>101127618-MEDFOOD</t>
  </si>
  <si>
    <t>Кліщова Ж.Є.</t>
  </si>
  <si>
    <t>Європейське законодавство в галузі біобезпеки</t>
  </si>
  <si>
    <t>101048202-EuroBioSEC</t>
  </si>
  <si>
    <t>Голубнича В.М.</t>
  </si>
  <si>
    <t>ERASMUS-JMO-2022-HEI-TCH-RSCH 101085451-CIRCUMED</t>
  </si>
  <si>
    <t>М/02-2024</t>
  </si>
  <si>
    <t>Гібрідні тривимірні мембрани з MXene для тканинної інженерії</t>
  </si>
  <si>
    <t>РН/47-2024</t>
  </si>
  <si>
    <t>оцінка структури та біологічних властивостей MXene різного хімічного складу</t>
  </si>
  <si>
    <t>60.12-2024.СП/01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</si>
</sst>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dd\.mm\.yyyy;@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4" xfId="2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8" xfId="2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0" fontId="2" fillId="2" borderId="4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justify" vertical="top" wrapText="1"/>
    </xf>
    <xf numFmtId="1" fontId="2" fillId="0" borderId="7" xfId="3" applyNumberFormat="1" applyFont="1" applyBorder="1" applyAlignment="1">
      <alignment horizontal="center" vertical="center"/>
    </xf>
    <xf numFmtId="0" fontId="2" fillId="0" borderId="8" xfId="3" applyFont="1" applyBorder="1" applyAlignment="1">
      <alignment vertical="top" wrapText="1"/>
    </xf>
    <xf numFmtId="1" fontId="2" fillId="0" borderId="8" xfId="3" applyNumberFormat="1" applyFont="1" applyBorder="1" applyAlignment="1">
      <alignment horizontal="center" vertical="center" wrapText="1"/>
    </xf>
    <xf numFmtId="1" fontId="3" fillId="0" borderId="8" xfId="3" applyNumberFormat="1" applyFont="1" applyBorder="1" applyAlignment="1">
      <alignment horizontal="center" vertical="center"/>
    </xf>
    <xf numFmtId="165" fontId="2" fillId="0" borderId="8" xfId="3" applyNumberFormat="1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1" fontId="2" fillId="0" borderId="3" xfId="3" applyNumberFormat="1" applyFont="1" applyBorder="1" applyAlignment="1">
      <alignment horizontal="center" vertical="center"/>
    </xf>
    <xf numFmtId="1" fontId="2" fillId="0" borderId="4" xfId="3" applyNumberFormat="1" applyFont="1" applyBorder="1" applyAlignment="1">
      <alignment horizontal="justify" vertical="top" wrapText="1"/>
    </xf>
    <xf numFmtId="1" fontId="2" fillId="0" borderId="4" xfId="3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/>
    </xf>
    <xf numFmtId="165" fontId="2" fillId="0" borderId="4" xfId="3" applyNumberFormat="1" applyFont="1" applyBorder="1" applyAlignment="1">
      <alignment horizontal="center" vertical="center"/>
    </xf>
    <xf numFmtId="165" fontId="2" fillId="0" borderId="4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15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vertical="top" wrapText="1"/>
    </xf>
    <xf numFmtId="4" fontId="2" fillId="0" borderId="4" xfId="3" applyNumberFormat="1" applyFont="1" applyBorder="1" applyAlignment="1">
      <alignment horizontal="center" vertical="center"/>
    </xf>
    <xf numFmtId="4" fontId="2" fillId="0" borderId="15" xfId="3" applyNumberFormat="1" applyFont="1" applyBorder="1" applyAlignment="1">
      <alignment horizontal="center" vertical="center"/>
    </xf>
    <xf numFmtId="1" fontId="2" fillId="0" borderId="4" xfId="3" applyNumberFormat="1" applyFont="1" applyBorder="1" applyAlignment="1">
      <alignment horizontal="left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1" fontId="5" fillId="0" borderId="4" xfId="3" applyNumberFormat="1" applyFont="1" applyBorder="1" applyAlignment="1">
      <alignment horizontal="left" vertical="top" wrapText="1"/>
    </xf>
    <xf numFmtId="164" fontId="2" fillId="0" borderId="4" xfId="4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1" fontId="2" fillId="0" borderId="4" xfId="3" applyNumberFormat="1" applyFont="1" applyBorder="1" applyAlignment="1">
      <alignment horizontal="center" vertical="center"/>
    </xf>
    <xf numFmtId="1" fontId="2" fillId="0" borderId="19" xfId="3" applyNumberFormat="1" applyFont="1" applyBorder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4" fontId="2" fillId="0" borderId="20" xfId="3" applyNumberFormat="1" applyFont="1" applyBorder="1" applyAlignment="1">
      <alignment horizontal="center" vertical="center"/>
    </xf>
    <xf numFmtId="4" fontId="2" fillId="0" borderId="11" xfId="3" applyNumberFormat="1" applyFont="1" applyBorder="1" applyAlignment="1">
      <alignment horizontal="center" vertical="center" wrapText="1"/>
    </xf>
    <xf numFmtId="4" fontId="2" fillId="0" borderId="12" xfId="3" applyNumberFormat="1" applyFont="1" applyBorder="1" applyAlignment="1">
      <alignment horizontal="center" vertical="center" wrapText="1"/>
    </xf>
    <xf numFmtId="1" fontId="2" fillId="0" borderId="16" xfId="3" applyNumberFormat="1" applyFont="1" applyBorder="1" applyAlignment="1">
      <alignment horizontal="right" vertical="center"/>
    </xf>
    <xf numFmtId="1" fontId="2" fillId="0" borderId="17" xfId="3" applyNumberFormat="1" applyFont="1" applyBorder="1" applyAlignment="1">
      <alignment horizontal="right" vertical="center"/>
    </xf>
    <xf numFmtId="1" fontId="2" fillId="0" borderId="18" xfId="3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0" fontId="8" fillId="0" borderId="0" xfId="0" applyFont="1"/>
    <xf numFmtId="4" fontId="0" fillId="0" borderId="0" xfId="0" applyNumberFormat="1"/>
  </cellXfs>
  <cellStyles count="5">
    <cellStyle name="Обычный" xfId="0" builtinId="0"/>
    <cellStyle name="Обычный 2" xfId="3" xr:uid="{00000000-0005-0000-0000-000001000000}"/>
    <cellStyle name="Обычный_Темплан 2013" xfId="2" xr:uid="{00000000-0005-0000-0000-000002000000}"/>
    <cellStyle name="Финансовый" xfId="1" builtinId="3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="55" zoomScaleNormal="55" workbookViewId="0">
      <selection activeCell="E1" sqref="E1:E1048576"/>
    </sheetView>
  </sheetViews>
  <sheetFormatPr baseColWidth="10" defaultColWidth="8.83203125" defaultRowHeight="15"/>
  <cols>
    <col min="1" max="1" width="10.5" bestFit="1" customWidth="1"/>
    <col min="2" max="2" width="81.33203125" customWidth="1"/>
    <col min="3" max="3" width="33.5" customWidth="1"/>
    <col min="4" max="4" width="31.1640625" customWidth="1"/>
    <col min="5" max="5" width="29.5" customWidth="1"/>
    <col min="6" max="6" width="19.5" customWidth="1"/>
    <col min="7" max="7" width="24.5" customWidth="1"/>
    <col min="8" max="8" width="36.6640625" customWidth="1"/>
    <col min="9" max="9" width="37" customWidth="1"/>
    <col min="10" max="10" width="31.1640625" customWidth="1"/>
    <col min="11" max="11" width="26.33203125" customWidth="1"/>
  </cols>
  <sheetData>
    <row r="1" spans="1:11" ht="16" thickBot="1"/>
    <row r="2" spans="1:11" ht="97" thickBot="1">
      <c r="A2" s="1" t="s">
        <v>0</v>
      </c>
      <c r="B2" s="2" t="s">
        <v>1</v>
      </c>
      <c r="C2" s="2" t="s">
        <v>2</v>
      </c>
      <c r="D2" s="3" t="s">
        <v>3</v>
      </c>
      <c r="E2" s="4"/>
      <c r="F2" s="3" t="s">
        <v>4</v>
      </c>
      <c r="G2" s="3" t="s">
        <v>5</v>
      </c>
      <c r="H2" s="5" t="s">
        <v>6</v>
      </c>
      <c r="I2" s="5" t="s">
        <v>296</v>
      </c>
      <c r="J2" s="5" t="s">
        <v>297</v>
      </c>
      <c r="K2" s="11" t="s">
        <v>298</v>
      </c>
    </row>
    <row r="3" spans="1:11" ht="48">
      <c r="A3" s="77">
        <v>1</v>
      </c>
      <c r="B3" s="78" t="s">
        <v>10</v>
      </c>
      <c r="C3" s="73" t="s">
        <v>237</v>
      </c>
      <c r="D3" s="79" t="s">
        <v>18</v>
      </c>
      <c r="E3" s="80" t="s">
        <v>242</v>
      </c>
      <c r="F3" s="81">
        <v>43132</v>
      </c>
      <c r="G3" s="81">
        <v>45291</v>
      </c>
      <c r="H3" s="82" t="s">
        <v>12</v>
      </c>
      <c r="I3" s="82">
        <f>J3</f>
        <v>1862064.8</v>
      </c>
      <c r="J3" s="83">
        <f>1312532+238228.95+18676.62+141928.39+250698.84-100000</f>
        <v>1862064.8</v>
      </c>
      <c r="K3" s="84">
        <f>S3</f>
        <v>0</v>
      </c>
    </row>
    <row r="4" spans="1:11" ht="72">
      <c r="A4" s="85">
        <v>2</v>
      </c>
      <c r="B4" s="86" t="s">
        <v>300</v>
      </c>
      <c r="C4" s="87" t="s">
        <v>301</v>
      </c>
      <c r="D4" s="87" t="s">
        <v>302</v>
      </c>
      <c r="E4" s="88" t="s">
        <v>242</v>
      </c>
      <c r="F4" s="89">
        <v>44986</v>
      </c>
      <c r="G4" s="90">
        <v>46446</v>
      </c>
      <c r="H4" s="91" t="s">
        <v>303</v>
      </c>
      <c r="I4" s="91">
        <f>(952569.72+265068.16+14964+2565352.38)*0.4</f>
        <v>1519181.7039999999</v>
      </c>
      <c r="J4" s="91">
        <f>(952569.72+265068.16+14964+2565352.38)*0.4</f>
        <v>1519181.7039999999</v>
      </c>
      <c r="K4" s="92">
        <f>(952569.72+265068.16+14964+2565352.38)*0.4</f>
        <v>1519181.7039999999</v>
      </c>
    </row>
    <row r="5" spans="1:11" ht="96">
      <c r="A5" s="85">
        <v>3</v>
      </c>
      <c r="B5" s="93" t="s">
        <v>239</v>
      </c>
      <c r="C5" s="47" t="s">
        <v>240</v>
      </c>
      <c r="D5" s="87" t="s">
        <v>241</v>
      </c>
      <c r="E5" s="88" t="s">
        <v>242</v>
      </c>
      <c r="F5" s="89">
        <v>44866</v>
      </c>
      <c r="G5" s="89">
        <v>46295</v>
      </c>
      <c r="H5" s="91" t="s">
        <v>243</v>
      </c>
      <c r="I5" s="91">
        <f>J5</f>
        <v>2412334.1</v>
      </c>
      <c r="J5" s="94">
        <f>407480.11+93422.81+1911431.18</f>
        <v>2412334.1</v>
      </c>
      <c r="K5" s="95"/>
    </row>
    <row r="6" spans="1:11" ht="72">
      <c r="A6" s="85">
        <v>4</v>
      </c>
      <c r="B6" s="93" t="s">
        <v>304</v>
      </c>
      <c r="C6" s="47" t="s">
        <v>305</v>
      </c>
      <c r="D6" s="87" t="s">
        <v>246</v>
      </c>
      <c r="E6" s="88" t="s">
        <v>242</v>
      </c>
      <c r="F6" s="89">
        <v>45231</v>
      </c>
      <c r="G6" s="89">
        <v>46691</v>
      </c>
      <c r="H6" s="91" t="s">
        <v>306</v>
      </c>
      <c r="I6" s="91">
        <f>J6</f>
        <v>1966311.0899999999</v>
      </c>
      <c r="J6" s="94">
        <f>647247.48+165247.48+38062+1115754.13</f>
        <v>1966311.0899999999</v>
      </c>
      <c r="K6" s="95"/>
    </row>
    <row r="7" spans="1:11" ht="96">
      <c r="A7" s="85">
        <v>5</v>
      </c>
      <c r="B7" s="96" t="s">
        <v>244</v>
      </c>
      <c r="C7" s="87" t="s">
        <v>326</v>
      </c>
      <c r="D7" s="87" t="s">
        <v>246</v>
      </c>
      <c r="E7" s="97" t="s">
        <v>242</v>
      </c>
      <c r="F7" s="89">
        <v>44813</v>
      </c>
      <c r="G7" s="90">
        <v>45908</v>
      </c>
      <c r="H7" s="94" t="s">
        <v>307</v>
      </c>
      <c r="I7" s="94">
        <f>J7</f>
        <v>449433.39</v>
      </c>
      <c r="J7" s="94">
        <f>392172.58+57260.81</f>
        <v>449433.39</v>
      </c>
      <c r="K7" s="95"/>
    </row>
    <row r="8" spans="1:11" ht="72">
      <c r="A8" s="85">
        <v>6</v>
      </c>
      <c r="B8" s="96" t="s">
        <v>308</v>
      </c>
      <c r="C8" s="87" t="s">
        <v>327</v>
      </c>
      <c r="D8" s="87" t="s">
        <v>246</v>
      </c>
      <c r="E8" s="97" t="s">
        <v>310</v>
      </c>
      <c r="F8" s="89">
        <v>45163</v>
      </c>
      <c r="G8" s="90">
        <v>45657</v>
      </c>
      <c r="H8" s="94">
        <v>199000</v>
      </c>
      <c r="I8" s="94">
        <v>199000</v>
      </c>
      <c r="J8" s="94">
        <v>199000</v>
      </c>
      <c r="K8" s="95">
        <f>139300+59700</f>
        <v>199000</v>
      </c>
    </row>
    <row r="9" spans="1:11" ht="42">
      <c r="A9" s="85">
        <v>7</v>
      </c>
      <c r="B9" s="99" t="s">
        <v>316</v>
      </c>
      <c r="C9" s="98" t="s">
        <v>317</v>
      </c>
      <c r="D9" s="87" t="s">
        <v>18</v>
      </c>
      <c r="E9" s="100" t="s">
        <v>16</v>
      </c>
      <c r="F9" s="90">
        <v>45047</v>
      </c>
      <c r="G9" s="90">
        <v>45657</v>
      </c>
      <c r="H9" s="94">
        <v>1946700</v>
      </c>
      <c r="I9" s="94">
        <v>685600</v>
      </c>
      <c r="J9" s="94">
        <f>342800*2</f>
        <v>685600</v>
      </c>
      <c r="K9" s="95">
        <f>239960+102840+239960+102840</f>
        <v>685600</v>
      </c>
    </row>
    <row r="10" spans="1:11" ht="42">
      <c r="A10" s="85">
        <v>8</v>
      </c>
      <c r="B10" s="99" t="s">
        <v>328</v>
      </c>
      <c r="C10" s="98" t="s">
        <v>329</v>
      </c>
      <c r="D10" s="87" t="s">
        <v>313</v>
      </c>
      <c r="E10" s="100" t="s">
        <v>16</v>
      </c>
      <c r="F10" s="90">
        <v>45560</v>
      </c>
      <c r="G10" s="90">
        <v>46387</v>
      </c>
      <c r="H10" s="94">
        <v>3552200</v>
      </c>
      <c r="I10" s="94">
        <v>470100</v>
      </c>
      <c r="J10" s="94">
        <v>470100</v>
      </c>
      <c r="K10" s="95">
        <v>470100</v>
      </c>
    </row>
    <row r="11" spans="1:11" ht="72">
      <c r="A11" s="85">
        <v>9</v>
      </c>
      <c r="B11" s="93" t="s">
        <v>320</v>
      </c>
      <c r="C11" s="47" t="s">
        <v>321</v>
      </c>
      <c r="D11" s="47" t="s">
        <v>322</v>
      </c>
      <c r="E11" s="101" t="s">
        <v>22</v>
      </c>
      <c r="F11" s="89">
        <v>45197</v>
      </c>
      <c r="G11" s="89">
        <v>46293</v>
      </c>
      <c r="H11" s="91">
        <v>30000</v>
      </c>
      <c r="I11" s="91">
        <f>J11</f>
        <v>468653.99</v>
      </c>
      <c r="J11" s="91">
        <f>386181.36+82472.63</f>
        <v>468653.99</v>
      </c>
      <c r="K11" s="92"/>
    </row>
    <row r="12" spans="1:11" ht="48">
      <c r="A12" s="85">
        <v>10</v>
      </c>
      <c r="B12" s="86" t="s">
        <v>330</v>
      </c>
      <c r="C12" s="102" t="s">
        <v>331</v>
      </c>
      <c r="D12" s="102" t="s">
        <v>18</v>
      </c>
      <c r="E12" s="88" t="s">
        <v>16</v>
      </c>
      <c r="F12" s="89"/>
      <c r="G12" s="90">
        <v>45657</v>
      </c>
      <c r="H12" s="91">
        <v>225000</v>
      </c>
      <c r="I12" s="91">
        <v>0</v>
      </c>
      <c r="J12" s="94"/>
      <c r="K12" s="95">
        <v>22500</v>
      </c>
    </row>
    <row r="13" spans="1:11" ht="23">
      <c r="A13" s="103"/>
      <c r="B13" s="104"/>
      <c r="C13" s="105"/>
      <c r="D13" s="105"/>
      <c r="E13" s="106"/>
      <c r="F13" s="107"/>
      <c r="G13" s="107"/>
      <c r="H13" s="108"/>
      <c r="I13" s="108"/>
      <c r="J13" s="108"/>
      <c r="K13" s="109"/>
    </row>
    <row r="14" spans="1:11" ht="24" thickBot="1">
      <c r="A14" s="112" t="s">
        <v>236</v>
      </c>
      <c r="B14" s="113"/>
      <c r="C14" s="113"/>
      <c r="D14" s="113"/>
      <c r="E14" s="113"/>
      <c r="F14" s="113"/>
      <c r="G14" s="113"/>
      <c r="H14" s="114"/>
      <c r="I14" s="110">
        <f>SUM(I3:I12)</f>
        <v>10032679.073999999</v>
      </c>
      <c r="J14" s="110">
        <f t="shared" ref="J14:K14" si="0">SUM(J3:J12)</f>
        <v>10032679.073999999</v>
      </c>
      <c r="K14" s="111">
        <f t="shared" si="0"/>
        <v>2896381.7039999999</v>
      </c>
    </row>
    <row r="21" spans="3:3" ht="34">
      <c r="C21" s="118"/>
    </row>
    <row r="22" spans="3:3" ht="34">
      <c r="C22" s="118"/>
    </row>
    <row r="23" spans="3:3" ht="34">
      <c r="C23" s="118"/>
    </row>
    <row r="24" spans="3:3" ht="34">
      <c r="C24" s="118"/>
    </row>
    <row r="25" spans="3:3" ht="34">
      <c r="C25" s="118"/>
    </row>
    <row r="26" spans="3:3" ht="34">
      <c r="C26" s="118"/>
    </row>
    <row r="27" spans="3:3" ht="34">
      <c r="C27" s="118"/>
    </row>
    <row r="28" spans="3:3" ht="34">
      <c r="C28" s="118"/>
    </row>
    <row r="29" spans="3:3" ht="34">
      <c r="C29" s="118"/>
    </row>
    <row r="30" spans="3:3" ht="34">
      <c r="C30" s="118"/>
    </row>
    <row r="31" spans="3:3" ht="34">
      <c r="C31" s="118"/>
    </row>
    <row r="32" spans="3:3" ht="34">
      <c r="C32" s="118"/>
    </row>
    <row r="33" spans="3:3" ht="34">
      <c r="C33" s="118"/>
    </row>
    <row r="34" spans="3:3" ht="34">
      <c r="C34" s="118"/>
    </row>
    <row r="35" spans="3:3" ht="34">
      <c r="C35" s="118"/>
    </row>
    <row r="36" spans="3:3" ht="34">
      <c r="C36" s="118"/>
    </row>
  </sheetData>
  <mergeCells count="1">
    <mergeCell ref="A14:H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zoomScale="55" zoomScaleNormal="55" workbookViewId="0">
      <selection activeCell="E1" sqref="E1:E1048576"/>
    </sheetView>
  </sheetViews>
  <sheetFormatPr baseColWidth="10" defaultColWidth="8.83203125" defaultRowHeight="15"/>
  <cols>
    <col min="1" max="1" width="10.5" bestFit="1" customWidth="1"/>
    <col min="2" max="2" width="81.33203125" customWidth="1"/>
    <col min="3" max="3" width="33.5" customWidth="1"/>
    <col min="4" max="4" width="31.1640625" customWidth="1"/>
    <col min="5" max="5" width="29.5" customWidth="1"/>
    <col min="6" max="6" width="19.5" customWidth="1"/>
    <col min="7" max="7" width="24.5" customWidth="1"/>
    <col min="8" max="8" width="36.6640625" customWidth="1"/>
    <col min="9" max="9" width="37" customWidth="1"/>
    <col min="10" max="10" width="31.1640625" customWidth="1"/>
    <col min="11" max="11" width="26.33203125" customWidth="1"/>
  </cols>
  <sheetData>
    <row r="1" spans="1:11" ht="16" thickBot="1"/>
    <row r="2" spans="1:11" ht="97" thickBot="1">
      <c r="A2" s="1" t="s">
        <v>0</v>
      </c>
      <c r="B2" s="2" t="s">
        <v>1</v>
      </c>
      <c r="C2" s="2" t="s">
        <v>2</v>
      </c>
      <c r="D2" s="3" t="s">
        <v>3</v>
      </c>
      <c r="E2" s="4"/>
      <c r="F2" s="3" t="s">
        <v>4</v>
      </c>
      <c r="G2" s="3" t="s">
        <v>5</v>
      </c>
      <c r="H2" s="5" t="s">
        <v>6</v>
      </c>
      <c r="I2" s="5" t="s">
        <v>296</v>
      </c>
      <c r="J2" s="5" t="s">
        <v>297</v>
      </c>
      <c r="K2" s="11" t="s">
        <v>298</v>
      </c>
    </row>
    <row r="3" spans="1:11" ht="72">
      <c r="A3" s="21">
        <v>1</v>
      </c>
      <c r="B3" s="22" t="s">
        <v>10</v>
      </c>
      <c r="C3" s="73" t="s">
        <v>237</v>
      </c>
      <c r="D3" s="24" t="s">
        <v>299</v>
      </c>
      <c r="E3" s="25" t="s">
        <v>242</v>
      </c>
      <c r="F3" s="55">
        <v>43132</v>
      </c>
      <c r="G3" s="55">
        <v>45291</v>
      </c>
      <c r="H3" s="27" t="s">
        <v>12</v>
      </c>
      <c r="I3" s="27">
        <f>30000*39.5-4000*39.5-2000*39.5</f>
        <v>948000</v>
      </c>
      <c r="J3" s="28">
        <v>1570074.05</v>
      </c>
      <c r="K3" s="29">
        <f>23850*39.5-4000*39.5-2000*39.5</f>
        <v>705075</v>
      </c>
    </row>
    <row r="4" spans="1:11" ht="72">
      <c r="A4" s="6">
        <v>2</v>
      </c>
      <c r="B4" s="76" t="s">
        <v>300</v>
      </c>
      <c r="C4" s="7" t="s">
        <v>301</v>
      </c>
      <c r="D4" s="7" t="s">
        <v>302</v>
      </c>
      <c r="E4" s="8" t="s">
        <v>242</v>
      </c>
      <c r="F4" s="35">
        <v>44986</v>
      </c>
      <c r="G4" s="19">
        <v>46446</v>
      </c>
      <c r="H4" s="9" t="s">
        <v>303</v>
      </c>
      <c r="I4" s="9">
        <f>193200*39.5/100*40</f>
        <v>3052560</v>
      </c>
      <c r="J4" s="9"/>
      <c r="K4" s="62">
        <f>193200*39.5/100*40</f>
        <v>3052560</v>
      </c>
    </row>
    <row r="5" spans="1:11" ht="96">
      <c r="A5" s="6">
        <v>3</v>
      </c>
      <c r="B5" s="12" t="s">
        <v>239</v>
      </c>
      <c r="C5" s="47" t="s">
        <v>240</v>
      </c>
      <c r="D5" s="7" t="s">
        <v>241</v>
      </c>
      <c r="E5" s="8" t="s">
        <v>242</v>
      </c>
      <c r="F5" s="35">
        <v>44866</v>
      </c>
      <c r="G5" s="35">
        <v>46295</v>
      </c>
      <c r="H5" s="9" t="s">
        <v>243</v>
      </c>
      <c r="I5" s="9">
        <f>(82800+(36800/11*2))*39.5-83123.79</f>
        <v>3451767.1190909091</v>
      </c>
      <c r="J5" s="10">
        <v>1911031.96</v>
      </c>
      <c r="K5" s="56">
        <f>149040*39-83123.79</f>
        <v>5729436.21</v>
      </c>
    </row>
    <row r="6" spans="1:11" ht="72">
      <c r="A6" s="6">
        <v>4</v>
      </c>
      <c r="B6" s="12" t="s">
        <v>304</v>
      </c>
      <c r="C6" s="47" t="s">
        <v>305</v>
      </c>
      <c r="D6" s="7" t="s">
        <v>246</v>
      </c>
      <c r="E6" s="8" t="s">
        <v>242</v>
      </c>
      <c r="F6" s="35">
        <v>45231</v>
      </c>
      <c r="G6" s="35">
        <v>46691</v>
      </c>
      <c r="H6" s="9" t="s">
        <v>306</v>
      </c>
      <c r="I6" s="9">
        <f>207000/48*2*39.5</f>
        <v>340687.5</v>
      </c>
      <c r="J6" s="10">
        <v>120322.13</v>
      </c>
      <c r="K6" s="56">
        <f>124200*39.5</f>
        <v>4905900</v>
      </c>
    </row>
    <row r="7" spans="1:11" ht="96">
      <c r="A7" s="6">
        <v>5</v>
      </c>
      <c r="B7" s="37" t="s">
        <v>244</v>
      </c>
      <c r="C7" s="7" t="s">
        <v>245</v>
      </c>
      <c r="D7" s="7" t="s">
        <v>246</v>
      </c>
      <c r="E7" s="38" t="s">
        <v>242</v>
      </c>
      <c r="F7" s="35">
        <v>44813</v>
      </c>
      <c r="G7" s="19">
        <v>45908</v>
      </c>
      <c r="H7" s="10" t="s">
        <v>307</v>
      </c>
      <c r="I7" s="10">
        <v>706062.5</v>
      </c>
      <c r="J7" s="10">
        <f>18443*39.5</f>
        <v>728498.5</v>
      </c>
      <c r="K7" s="56">
        <f>35000*39</f>
        <v>1365000</v>
      </c>
    </row>
    <row r="8" spans="1:11" ht="72">
      <c r="A8" s="6">
        <v>6</v>
      </c>
      <c r="B8" s="37" t="s">
        <v>308</v>
      </c>
      <c r="C8" s="7" t="s">
        <v>309</v>
      </c>
      <c r="D8" s="7" t="s">
        <v>246</v>
      </c>
      <c r="E8" s="38" t="s">
        <v>310</v>
      </c>
      <c r="F8" s="35">
        <v>45163</v>
      </c>
      <c r="G8" s="19">
        <v>45291</v>
      </c>
      <c r="H8" s="10">
        <v>199000</v>
      </c>
      <c r="I8" s="10">
        <v>199000</v>
      </c>
      <c r="J8" s="10">
        <v>199000</v>
      </c>
      <c r="K8" s="56">
        <v>199000</v>
      </c>
    </row>
    <row r="9" spans="1:11" ht="48">
      <c r="A9" s="6">
        <v>7</v>
      </c>
      <c r="B9" s="12" t="s">
        <v>311</v>
      </c>
      <c r="C9" s="17" t="s">
        <v>312</v>
      </c>
      <c r="D9" s="7" t="s">
        <v>313</v>
      </c>
      <c r="E9" s="38" t="s">
        <v>314</v>
      </c>
      <c r="F9" s="35">
        <v>45168</v>
      </c>
      <c r="G9" s="19">
        <v>45291</v>
      </c>
      <c r="H9" s="10">
        <v>199000</v>
      </c>
      <c r="I9" s="10">
        <v>199000</v>
      </c>
      <c r="J9" s="10">
        <v>199000</v>
      </c>
      <c r="K9" s="56">
        <v>199000</v>
      </c>
    </row>
    <row r="10" spans="1:11" ht="105">
      <c r="A10" s="6">
        <v>8</v>
      </c>
      <c r="B10" s="16" t="s">
        <v>13</v>
      </c>
      <c r="C10" s="17" t="s">
        <v>315</v>
      </c>
      <c r="D10" s="7" t="s">
        <v>15</v>
      </c>
      <c r="E10" s="18" t="s">
        <v>16</v>
      </c>
      <c r="F10" s="19">
        <v>45047</v>
      </c>
      <c r="G10" s="19">
        <v>45291</v>
      </c>
      <c r="H10" s="10">
        <v>11991000</v>
      </c>
      <c r="I10" s="10">
        <v>2075150</v>
      </c>
      <c r="J10" s="10">
        <v>2062393.06</v>
      </c>
      <c r="K10" s="56">
        <v>2062393.06</v>
      </c>
    </row>
    <row r="11" spans="1:11" ht="42">
      <c r="A11" s="6">
        <v>9</v>
      </c>
      <c r="B11" s="16" t="s">
        <v>316</v>
      </c>
      <c r="C11" s="17" t="s">
        <v>317</v>
      </c>
      <c r="D11" s="7" t="s">
        <v>18</v>
      </c>
      <c r="E11" s="18" t="s">
        <v>16</v>
      </c>
      <c r="F11" s="19">
        <v>45047</v>
      </c>
      <c r="G11" s="19">
        <v>45657</v>
      </c>
      <c r="H11" s="10">
        <v>1946700</v>
      </c>
      <c r="I11" s="10">
        <v>514400</v>
      </c>
      <c r="J11" s="10">
        <f>285800+228600</f>
        <v>514400</v>
      </c>
      <c r="K11" s="56">
        <f>85740+200060+68580+160020</f>
        <v>514400</v>
      </c>
    </row>
    <row r="12" spans="1:11" ht="126">
      <c r="A12" s="6">
        <v>10</v>
      </c>
      <c r="B12" s="16" t="s">
        <v>318</v>
      </c>
      <c r="C12" s="17" t="s">
        <v>319</v>
      </c>
      <c r="D12" s="7" t="s">
        <v>18</v>
      </c>
      <c r="E12" s="18" t="s">
        <v>16</v>
      </c>
      <c r="F12" s="19"/>
      <c r="G12" s="19">
        <v>45291</v>
      </c>
      <c r="H12" s="10">
        <v>99000</v>
      </c>
      <c r="I12" s="10">
        <v>99000</v>
      </c>
      <c r="J12" s="10">
        <v>99000</v>
      </c>
      <c r="K12" s="56">
        <v>99000</v>
      </c>
    </row>
    <row r="13" spans="1:11" ht="72">
      <c r="A13" s="6">
        <v>11</v>
      </c>
      <c r="B13" s="12" t="s">
        <v>320</v>
      </c>
      <c r="C13" s="47" t="s">
        <v>321</v>
      </c>
      <c r="D13" s="47" t="s">
        <v>322</v>
      </c>
      <c r="E13" s="48" t="s">
        <v>22</v>
      </c>
      <c r="F13" s="35">
        <v>45197</v>
      </c>
      <c r="G13" s="35">
        <v>46293</v>
      </c>
      <c r="H13" s="9">
        <v>30000</v>
      </c>
      <c r="I13" s="9">
        <f>30000*39.5/36*3</f>
        <v>98750</v>
      </c>
      <c r="J13" s="9"/>
      <c r="K13" s="62">
        <f>21000*39.5</f>
        <v>829500</v>
      </c>
    </row>
    <row r="14" spans="1:11" ht="48">
      <c r="A14" s="6">
        <v>12</v>
      </c>
      <c r="B14" s="12" t="s">
        <v>323</v>
      </c>
      <c r="C14" s="47" t="s">
        <v>324</v>
      </c>
      <c r="D14" s="47" t="s">
        <v>325</v>
      </c>
      <c r="E14" s="48" t="s">
        <v>22</v>
      </c>
      <c r="F14" s="35">
        <v>44596</v>
      </c>
      <c r="G14" s="35">
        <v>45692</v>
      </c>
      <c r="H14" s="9">
        <v>30000</v>
      </c>
      <c r="I14" s="9"/>
      <c r="J14" s="9">
        <v>32989.33</v>
      </c>
      <c r="K14" s="62"/>
    </row>
    <row r="15" spans="1:11" ht="23">
      <c r="A15" s="66"/>
      <c r="B15" s="67"/>
      <c r="C15" s="68"/>
      <c r="D15" s="68"/>
      <c r="E15" s="69"/>
      <c r="F15" s="70"/>
      <c r="G15" s="70"/>
      <c r="H15" s="71"/>
      <c r="I15" s="71"/>
      <c r="J15" s="71"/>
      <c r="K15" s="72"/>
    </row>
    <row r="16" spans="1:11" ht="24" thickBot="1">
      <c r="A16" s="115" t="s">
        <v>236</v>
      </c>
      <c r="B16" s="116"/>
      <c r="C16" s="116"/>
      <c r="D16" s="116"/>
      <c r="E16" s="116"/>
      <c r="F16" s="116"/>
      <c r="G16" s="116"/>
      <c r="H16" s="117"/>
      <c r="I16" s="74">
        <f>SUM(I3:I14)</f>
        <v>11684377.119090909</v>
      </c>
      <c r="J16" s="74">
        <f>SUM(J3:J14)</f>
        <v>7436709.0299999993</v>
      </c>
      <c r="K16" s="75">
        <f>SUM(K3:K14)</f>
        <v>19661264.27</v>
      </c>
    </row>
  </sheetData>
  <mergeCells count="1">
    <mergeCell ref="A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topLeftCell="A33" zoomScale="55" zoomScaleNormal="55" workbookViewId="0">
      <selection activeCell="E33" sqref="E1:E1048576"/>
    </sheetView>
  </sheetViews>
  <sheetFormatPr baseColWidth="10" defaultColWidth="8.83203125" defaultRowHeight="15"/>
  <cols>
    <col min="1" max="1" width="10.5" bestFit="1" customWidth="1"/>
    <col min="2" max="2" width="81.33203125" customWidth="1"/>
    <col min="3" max="3" width="33.5" customWidth="1"/>
    <col min="4" max="4" width="31.1640625" customWidth="1"/>
    <col min="5" max="5" width="29.5" customWidth="1"/>
    <col min="6" max="6" width="19.5" customWidth="1"/>
    <col min="7" max="7" width="24.5" customWidth="1"/>
    <col min="8" max="8" width="36.6640625" customWidth="1"/>
    <col min="9" max="9" width="37" customWidth="1"/>
    <col min="10" max="10" width="31.1640625" customWidth="1"/>
    <col min="11" max="11" width="26.33203125" customWidth="1"/>
  </cols>
  <sheetData>
    <row r="1" spans="1:11" ht="16" thickBot="1"/>
    <row r="2" spans="1:11" ht="97" thickBot="1">
      <c r="A2" s="1" t="s">
        <v>0</v>
      </c>
      <c r="B2" s="2" t="s">
        <v>1</v>
      </c>
      <c r="C2" s="2" t="s">
        <v>2</v>
      </c>
      <c r="D2" s="3" t="s">
        <v>3</v>
      </c>
      <c r="E2" s="4"/>
      <c r="F2" s="3" t="s">
        <v>4</v>
      </c>
      <c r="G2" s="3" t="s">
        <v>5</v>
      </c>
      <c r="H2" s="5" t="s">
        <v>6</v>
      </c>
      <c r="I2" s="5" t="s">
        <v>293</v>
      </c>
      <c r="J2" s="5" t="s">
        <v>294</v>
      </c>
      <c r="K2" s="11" t="s">
        <v>295</v>
      </c>
    </row>
    <row r="3" spans="1:11" ht="48">
      <c r="A3" s="21">
        <v>1</v>
      </c>
      <c r="B3" s="22" t="s">
        <v>10</v>
      </c>
      <c r="C3" s="73" t="s">
        <v>237</v>
      </c>
      <c r="D3" s="24" t="s">
        <v>238</v>
      </c>
      <c r="E3" s="25"/>
      <c r="F3" s="55">
        <v>43132</v>
      </c>
      <c r="G3" s="55">
        <v>45291</v>
      </c>
      <c r="H3" s="27" t="s">
        <v>12</v>
      </c>
      <c r="I3" s="27">
        <f>45000*37+45000*37-2000*37</f>
        <v>3256000</v>
      </c>
      <c r="J3" s="28">
        <v>3020365.33</v>
      </c>
      <c r="K3" s="29">
        <f>1431000+45000*37-2000*37</f>
        <v>3022000</v>
      </c>
    </row>
    <row r="4" spans="1:11" ht="96">
      <c r="A4" s="6">
        <v>2</v>
      </c>
      <c r="B4" s="12" t="s">
        <v>239</v>
      </c>
      <c r="C4" s="47" t="s">
        <v>240</v>
      </c>
      <c r="D4" s="7" t="s">
        <v>241</v>
      </c>
      <c r="E4" s="8" t="s">
        <v>242</v>
      </c>
      <c r="F4" s="35">
        <v>44866</v>
      </c>
      <c r="G4" s="35">
        <v>46295</v>
      </c>
      <c r="H4" s="9" t="s">
        <v>243</v>
      </c>
      <c r="I4" s="9">
        <v>83123.789999999994</v>
      </c>
      <c r="J4" s="10">
        <f>70000+13123.79</f>
        <v>83123.790000000008</v>
      </c>
      <c r="K4" s="56">
        <v>83123.789999999994</v>
      </c>
    </row>
    <row r="5" spans="1:11" ht="96">
      <c r="A5" s="36">
        <v>3</v>
      </c>
      <c r="B5" s="37" t="s">
        <v>244</v>
      </c>
      <c r="C5" s="7" t="s">
        <v>245</v>
      </c>
      <c r="D5" s="7" t="s">
        <v>246</v>
      </c>
      <c r="E5" s="38" t="s">
        <v>242</v>
      </c>
      <c r="F5" s="35">
        <v>44813</v>
      </c>
      <c r="G5" s="19">
        <v>45908</v>
      </c>
      <c r="H5" s="10">
        <v>50000</v>
      </c>
      <c r="I5" s="10"/>
      <c r="J5" s="10"/>
      <c r="K5" s="56"/>
    </row>
    <row r="6" spans="1:11" ht="105">
      <c r="A6" s="6">
        <v>4</v>
      </c>
      <c r="B6" s="16" t="s">
        <v>13</v>
      </c>
      <c r="C6" s="17" t="s">
        <v>14</v>
      </c>
      <c r="D6" s="7" t="s">
        <v>15</v>
      </c>
      <c r="E6" s="18" t="s">
        <v>16</v>
      </c>
      <c r="F6" s="19">
        <v>44131</v>
      </c>
      <c r="G6" s="19" t="s">
        <v>17</v>
      </c>
      <c r="H6" s="10">
        <v>11991000</v>
      </c>
      <c r="I6" s="10">
        <v>0</v>
      </c>
      <c r="J6" s="10">
        <v>0</v>
      </c>
      <c r="K6" s="56">
        <v>0</v>
      </c>
    </row>
    <row r="7" spans="1:11" ht="72">
      <c r="A7" s="36">
        <v>5</v>
      </c>
      <c r="B7" s="37" t="s">
        <v>19</v>
      </c>
      <c r="C7" s="7" t="s">
        <v>20</v>
      </c>
      <c r="D7" s="7" t="s">
        <v>21</v>
      </c>
      <c r="E7" s="38" t="s">
        <v>22</v>
      </c>
      <c r="F7" s="35">
        <v>44127</v>
      </c>
      <c r="G7" s="19">
        <v>45222</v>
      </c>
      <c r="H7" s="10" t="s">
        <v>23</v>
      </c>
      <c r="I7" s="10">
        <f>10338*37</f>
        <v>382506</v>
      </c>
      <c r="J7" s="10">
        <v>289305.88</v>
      </c>
      <c r="K7" s="56"/>
    </row>
    <row r="8" spans="1:11" ht="96">
      <c r="A8" s="36">
        <v>6</v>
      </c>
      <c r="B8" s="37" t="s">
        <v>28</v>
      </c>
      <c r="C8" s="7" t="s">
        <v>35</v>
      </c>
      <c r="D8" s="7" t="s">
        <v>32</v>
      </c>
      <c r="E8" s="38" t="s">
        <v>27</v>
      </c>
      <c r="F8" s="35">
        <v>44198</v>
      </c>
      <c r="G8" s="19">
        <v>44561</v>
      </c>
      <c r="H8" s="10">
        <v>11000</v>
      </c>
      <c r="I8" s="10">
        <v>5500</v>
      </c>
      <c r="J8" s="10"/>
      <c r="K8" s="56">
        <v>5500</v>
      </c>
    </row>
    <row r="9" spans="1:11" ht="96">
      <c r="A9" s="36">
        <v>7</v>
      </c>
      <c r="B9" s="37" t="s">
        <v>164</v>
      </c>
      <c r="C9" s="7" t="s">
        <v>165</v>
      </c>
      <c r="D9" s="7" t="s">
        <v>32</v>
      </c>
      <c r="E9" s="38" t="s">
        <v>27</v>
      </c>
      <c r="F9" s="35">
        <v>44537</v>
      </c>
      <c r="G9" s="19">
        <v>44926</v>
      </c>
      <c r="H9" s="10">
        <v>5200</v>
      </c>
      <c r="I9" s="10">
        <v>5200</v>
      </c>
      <c r="J9" s="10"/>
      <c r="K9" s="56"/>
    </row>
    <row r="10" spans="1:11" ht="72">
      <c r="A10" s="36">
        <v>8</v>
      </c>
      <c r="B10" s="54" t="s">
        <v>166</v>
      </c>
      <c r="C10" s="7" t="s">
        <v>167</v>
      </c>
      <c r="D10" s="7" t="s">
        <v>26</v>
      </c>
      <c r="E10" s="18" t="s">
        <v>127</v>
      </c>
      <c r="F10" s="19">
        <v>44545</v>
      </c>
      <c r="G10" s="19">
        <v>44561</v>
      </c>
      <c r="H10" s="10">
        <v>17880</v>
      </c>
      <c r="I10" s="10">
        <v>17880</v>
      </c>
      <c r="J10" s="10"/>
      <c r="K10" s="56">
        <v>17880</v>
      </c>
    </row>
    <row r="11" spans="1:11" ht="96">
      <c r="A11" s="36">
        <v>9</v>
      </c>
      <c r="B11" s="37" t="s">
        <v>30</v>
      </c>
      <c r="C11" s="7" t="s">
        <v>247</v>
      </c>
      <c r="D11" s="7" t="s">
        <v>32</v>
      </c>
      <c r="E11" s="38" t="s">
        <v>27</v>
      </c>
      <c r="F11" s="35">
        <v>44614</v>
      </c>
      <c r="G11" s="19">
        <v>44926</v>
      </c>
      <c r="H11" s="10">
        <v>161700</v>
      </c>
      <c r="I11" s="10">
        <f>161700-50000-55000</f>
        <v>56700</v>
      </c>
      <c r="J11" s="10">
        <f>80850+80850-50000-55000</f>
        <v>56700</v>
      </c>
      <c r="K11" s="56">
        <f>80850+80850-50000-55000</f>
        <v>56700</v>
      </c>
    </row>
    <row r="12" spans="1:11" ht="96">
      <c r="A12" s="36">
        <v>10</v>
      </c>
      <c r="B12" s="37" t="s">
        <v>33</v>
      </c>
      <c r="C12" s="7" t="s">
        <v>248</v>
      </c>
      <c r="D12" s="7" t="s">
        <v>32</v>
      </c>
      <c r="E12" s="38" t="s">
        <v>27</v>
      </c>
      <c r="F12" s="35">
        <v>44584</v>
      </c>
      <c r="G12" s="19">
        <v>44926</v>
      </c>
      <c r="H12" s="10">
        <v>37200</v>
      </c>
      <c r="I12" s="10">
        <v>37200</v>
      </c>
      <c r="J12" s="10">
        <f>9300+9300+9300+9300</f>
        <v>37200</v>
      </c>
      <c r="K12" s="56">
        <f>9300+9300+9300+9300</f>
        <v>37200</v>
      </c>
    </row>
    <row r="13" spans="1:11" ht="72">
      <c r="A13" s="36">
        <v>11</v>
      </c>
      <c r="B13" s="54" t="s">
        <v>249</v>
      </c>
      <c r="C13" s="7" t="s">
        <v>250</v>
      </c>
      <c r="D13" s="7" t="s">
        <v>32</v>
      </c>
      <c r="E13" s="38" t="s">
        <v>251</v>
      </c>
      <c r="F13" s="35">
        <v>44584</v>
      </c>
      <c r="G13" s="19">
        <v>44926</v>
      </c>
      <c r="H13" s="10">
        <v>10170</v>
      </c>
      <c r="I13" s="10">
        <v>10170</v>
      </c>
      <c r="J13" s="10">
        <v>10170</v>
      </c>
      <c r="K13" s="56">
        <v>10170</v>
      </c>
    </row>
    <row r="14" spans="1:11" ht="48">
      <c r="A14" s="36">
        <v>12</v>
      </c>
      <c r="B14" s="37" t="s">
        <v>252</v>
      </c>
      <c r="C14" s="7" t="s">
        <v>253</v>
      </c>
      <c r="D14" s="7" t="s">
        <v>32</v>
      </c>
      <c r="E14" s="38" t="s">
        <v>27</v>
      </c>
      <c r="F14" s="35">
        <v>44601</v>
      </c>
      <c r="G14" s="19">
        <v>44926</v>
      </c>
      <c r="H14" s="10">
        <v>2880</v>
      </c>
      <c r="I14" s="10">
        <v>2880</v>
      </c>
      <c r="J14" s="10">
        <v>2880</v>
      </c>
      <c r="K14" s="56">
        <v>2880</v>
      </c>
    </row>
    <row r="15" spans="1:11" ht="144">
      <c r="A15" s="36">
        <v>13</v>
      </c>
      <c r="B15" s="37" t="s">
        <v>52</v>
      </c>
      <c r="C15" s="7" t="s">
        <v>254</v>
      </c>
      <c r="D15" s="7" t="s">
        <v>32</v>
      </c>
      <c r="E15" s="38" t="s">
        <v>27</v>
      </c>
      <c r="F15" s="35">
        <v>44600</v>
      </c>
      <c r="G15" s="19">
        <v>44926</v>
      </c>
      <c r="H15" s="10">
        <v>10475</v>
      </c>
      <c r="I15" s="10">
        <v>10475</v>
      </c>
      <c r="J15" s="10">
        <v>10475</v>
      </c>
      <c r="K15" s="56">
        <v>10475</v>
      </c>
    </row>
    <row r="16" spans="1:11" ht="144">
      <c r="A16" s="36">
        <v>14</v>
      </c>
      <c r="B16" s="37" t="s">
        <v>255</v>
      </c>
      <c r="C16" s="7" t="s">
        <v>256</v>
      </c>
      <c r="D16" s="7" t="s">
        <v>32</v>
      </c>
      <c r="E16" s="38" t="s">
        <v>27</v>
      </c>
      <c r="F16" s="35">
        <v>44595</v>
      </c>
      <c r="G16" s="19">
        <v>44926</v>
      </c>
      <c r="H16" s="10">
        <v>15555</v>
      </c>
      <c r="I16" s="10">
        <v>15555</v>
      </c>
      <c r="J16" s="10">
        <f>15555-2260</f>
        <v>13295</v>
      </c>
      <c r="K16" s="56">
        <f>7395+1000+4900</f>
        <v>13295</v>
      </c>
    </row>
    <row r="17" spans="1:11" ht="144">
      <c r="A17" s="36">
        <v>15</v>
      </c>
      <c r="B17" s="37" t="s">
        <v>56</v>
      </c>
      <c r="C17" s="7" t="s">
        <v>257</v>
      </c>
      <c r="D17" s="7" t="s">
        <v>32</v>
      </c>
      <c r="E17" s="38" t="s">
        <v>27</v>
      </c>
      <c r="F17" s="35">
        <v>44596</v>
      </c>
      <c r="G17" s="19">
        <v>44926</v>
      </c>
      <c r="H17" s="10">
        <v>14900</v>
      </c>
      <c r="I17" s="10">
        <v>14900</v>
      </c>
      <c r="J17" s="10">
        <v>14900</v>
      </c>
      <c r="K17" s="56">
        <v>14900</v>
      </c>
    </row>
    <row r="18" spans="1:11" ht="144">
      <c r="A18" s="36">
        <v>16</v>
      </c>
      <c r="B18" s="37" t="s">
        <v>56</v>
      </c>
      <c r="C18" s="7" t="s">
        <v>258</v>
      </c>
      <c r="D18" s="7" t="s">
        <v>32</v>
      </c>
      <c r="E18" s="38" t="s">
        <v>27</v>
      </c>
      <c r="F18" s="35">
        <v>44753</v>
      </c>
      <c r="G18" s="19">
        <v>44926</v>
      </c>
      <c r="H18" s="10">
        <v>1000</v>
      </c>
      <c r="I18" s="10">
        <v>1000</v>
      </c>
      <c r="J18" s="10">
        <v>1000</v>
      </c>
      <c r="K18" s="56">
        <v>1000</v>
      </c>
    </row>
    <row r="19" spans="1:11" ht="192">
      <c r="A19" s="36">
        <v>17</v>
      </c>
      <c r="B19" s="37" t="s">
        <v>259</v>
      </c>
      <c r="C19" s="7" t="s">
        <v>260</v>
      </c>
      <c r="D19" s="7" t="s">
        <v>32</v>
      </c>
      <c r="E19" s="38" t="s">
        <v>45</v>
      </c>
      <c r="F19" s="35">
        <v>44691</v>
      </c>
      <c r="G19" s="19">
        <v>44926</v>
      </c>
      <c r="H19" s="10">
        <v>24050</v>
      </c>
      <c r="I19" s="10">
        <v>24050</v>
      </c>
      <c r="J19" s="10">
        <v>16350</v>
      </c>
      <c r="K19" s="56">
        <f>8175+8175</f>
        <v>16350</v>
      </c>
    </row>
    <row r="20" spans="1:11" ht="96">
      <c r="A20" s="36">
        <v>18</v>
      </c>
      <c r="B20" s="37" t="s">
        <v>261</v>
      </c>
      <c r="C20" s="7" t="s">
        <v>262</v>
      </c>
      <c r="D20" s="7" t="s">
        <v>32</v>
      </c>
      <c r="E20" s="38" t="s">
        <v>27</v>
      </c>
      <c r="F20" s="35">
        <v>44683</v>
      </c>
      <c r="G20" s="19">
        <v>44926</v>
      </c>
      <c r="H20" s="10">
        <v>2900</v>
      </c>
      <c r="I20" s="10">
        <v>2900</v>
      </c>
      <c r="J20" s="10">
        <v>2900</v>
      </c>
      <c r="K20" s="56">
        <v>2900</v>
      </c>
    </row>
    <row r="21" spans="1:11" ht="72">
      <c r="A21" s="36">
        <v>19</v>
      </c>
      <c r="B21" s="37" t="s">
        <v>263</v>
      </c>
      <c r="C21" s="7" t="s">
        <v>264</v>
      </c>
      <c r="D21" s="7" t="s">
        <v>32</v>
      </c>
      <c r="E21" s="38" t="s">
        <v>27</v>
      </c>
      <c r="F21" s="35">
        <v>44711</v>
      </c>
      <c r="G21" s="19">
        <v>44926</v>
      </c>
      <c r="H21" s="10">
        <v>21240</v>
      </c>
      <c r="I21" s="10">
        <v>21240</v>
      </c>
      <c r="J21" s="10">
        <v>21240</v>
      </c>
      <c r="K21" s="56">
        <v>21240</v>
      </c>
    </row>
    <row r="22" spans="1:11" ht="144">
      <c r="A22" s="36">
        <v>20</v>
      </c>
      <c r="B22" s="37" t="s">
        <v>56</v>
      </c>
      <c r="C22" s="7" t="s">
        <v>265</v>
      </c>
      <c r="D22" s="7" t="s">
        <v>32</v>
      </c>
      <c r="E22" s="38" t="s">
        <v>27</v>
      </c>
      <c r="F22" s="35">
        <v>44777</v>
      </c>
      <c r="G22" s="19">
        <v>44926</v>
      </c>
      <c r="H22" s="10">
        <v>4315</v>
      </c>
      <c r="I22" s="10">
        <v>4315</v>
      </c>
      <c r="J22" s="10">
        <v>4315</v>
      </c>
      <c r="K22" s="56">
        <v>4315</v>
      </c>
    </row>
    <row r="23" spans="1:11" ht="144">
      <c r="A23" s="36">
        <v>21</v>
      </c>
      <c r="B23" s="37" t="s">
        <v>56</v>
      </c>
      <c r="C23" s="7" t="s">
        <v>266</v>
      </c>
      <c r="D23" s="7" t="s">
        <v>32</v>
      </c>
      <c r="E23" s="38" t="s">
        <v>27</v>
      </c>
      <c r="F23" s="35">
        <v>44761</v>
      </c>
      <c r="G23" s="19">
        <v>44926</v>
      </c>
      <c r="H23" s="10">
        <v>6805</v>
      </c>
      <c r="I23" s="10">
        <v>6805</v>
      </c>
      <c r="J23" s="10">
        <v>6805</v>
      </c>
      <c r="K23" s="56">
        <v>6805</v>
      </c>
    </row>
    <row r="24" spans="1:11" ht="168">
      <c r="A24" s="36">
        <v>22</v>
      </c>
      <c r="B24" s="37" t="s">
        <v>267</v>
      </c>
      <c r="C24" s="7" t="s">
        <v>268</v>
      </c>
      <c r="D24" s="7" t="s">
        <v>32</v>
      </c>
      <c r="E24" s="38" t="s">
        <v>27</v>
      </c>
      <c r="F24" s="35">
        <v>44761</v>
      </c>
      <c r="G24" s="19">
        <v>44926</v>
      </c>
      <c r="H24" s="10">
        <v>4000</v>
      </c>
      <c r="I24" s="10">
        <v>4000</v>
      </c>
      <c r="J24" s="10">
        <v>4000</v>
      </c>
      <c r="K24" s="56">
        <v>4000</v>
      </c>
    </row>
    <row r="25" spans="1:11" ht="192">
      <c r="A25" s="36">
        <v>23</v>
      </c>
      <c r="B25" s="37" t="s">
        <v>269</v>
      </c>
      <c r="C25" s="7" t="s">
        <v>270</v>
      </c>
      <c r="D25" s="7" t="s">
        <v>32</v>
      </c>
      <c r="E25" s="38" t="s">
        <v>27</v>
      </c>
      <c r="F25" s="35">
        <v>44734</v>
      </c>
      <c r="G25" s="19">
        <v>44926</v>
      </c>
      <c r="H25" s="10">
        <v>15100</v>
      </c>
      <c r="I25" s="10">
        <v>15100</v>
      </c>
      <c r="J25" s="10">
        <v>15100</v>
      </c>
      <c r="K25" s="56">
        <v>15100</v>
      </c>
    </row>
    <row r="26" spans="1:11" ht="144">
      <c r="A26" s="36">
        <v>24</v>
      </c>
      <c r="B26" s="37" t="s">
        <v>56</v>
      </c>
      <c r="C26" s="7" t="s">
        <v>271</v>
      </c>
      <c r="D26" s="7" t="s">
        <v>32</v>
      </c>
      <c r="E26" s="38" t="s">
        <v>27</v>
      </c>
      <c r="F26" s="35">
        <v>44743</v>
      </c>
      <c r="G26" s="19">
        <v>44926</v>
      </c>
      <c r="H26" s="10">
        <v>2700</v>
      </c>
      <c r="I26" s="10">
        <v>2700</v>
      </c>
      <c r="J26" s="10">
        <v>2700</v>
      </c>
      <c r="K26" s="56">
        <v>2700</v>
      </c>
    </row>
    <row r="27" spans="1:11" ht="336">
      <c r="A27" s="36">
        <v>25</v>
      </c>
      <c r="B27" s="37" t="s">
        <v>272</v>
      </c>
      <c r="C27" s="7" t="s">
        <v>273</v>
      </c>
      <c r="D27" s="7" t="s">
        <v>32</v>
      </c>
      <c r="E27" s="38" t="s">
        <v>27</v>
      </c>
      <c r="F27" s="35">
        <v>44735</v>
      </c>
      <c r="G27" s="19">
        <v>44926</v>
      </c>
      <c r="H27" s="10">
        <v>10125</v>
      </c>
      <c r="I27" s="10">
        <v>10125</v>
      </c>
      <c r="J27" s="10">
        <v>10125</v>
      </c>
      <c r="K27" s="56">
        <v>10125</v>
      </c>
    </row>
    <row r="28" spans="1:11" ht="336">
      <c r="A28" s="36">
        <v>26</v>
      </c>
      <c r="B28" s="37" t="s">
        <v>274</v>
      </c>
      <c r="C28" s="7" t="s">
        <v>275</v>
      </c>
      <c r="D28" s="7" t="s">
        <v>32</v>
      </c>
      <c r="E28" s="38" t="s">
        <v>27</v>
      </c>
      <c r="F28" s="35">
        <v>44903</v>
      </c>
      <c r="G28" s="19">
        <v>44926</v>
      </c>
      <c r="H28" s="10">
        <v>30745</v>
      </c>
      <c r="I28" s="10">
        <v>30745</v>
      </c>
      <c r="J28" s="10">
        <f>11910+7450+11385</f>
        <v>30745</v>
      </c>
      <c r="K28" s="56">
        <v>30745</v>
      </c>
    </row>
    <row r="29" spans="1:11" ht="144">
      <c r="A29" s="36">
        <v>27</v>
      </c>
      <c r="B29" s="37" t="s">
        <v>56</v>
      </c>
      <c r="C29" s="7" t="s">
        <v>276</v>
      </c>
      <c r="D29" s="7" t="s">
        <v>32</v>
      </c>
      <c r="E29" s="38" t="s">
        <v>27</v>
      </c>
      <c r="F29" s="35">
        <v>44761</v>
      </c>
      <c r="G29" s="19">
        <v>44926</v>
      </c>
      <c r="H29" s="10">
        <v>7850</v>
      </c>
      <c r="I29" s="10">
        <v>7850</v>
      </c>
      <c r="J29" s="10">
        <v>7850</v>
      </c>
      <c r="K29" s="56">
        <v>7850</v>
      </c>
    </row>
    <row r="30" spans="1:11" ht="144">
      <c r="A30" s="36">
        <v>28</v>
      </c>
      <c r="B30" s="37" t="s">
        <v>277</v>
      </c>
      <c r="C30" s="7" t="s">
        <v>278</v>
      </c>
      <c r="D30" s="7" t="s">
        <v>32</v>
      </c>
      <c r="E30" s="38" t="s">
        <v>27</v>
      </c>
      <c r="F30" s="35">
        <v>44746</v>
      </c>
      <c r="G30" s="19">
        <v>44926</v>
      </c>
      <c r="H30" s="10">
        <v>2640</v>
      </c>
      <c r="I30" s="10">
        <v>2640</v>
      </c>
      <c r="J30" s="10">
        <v>2640</v>
      </c>
      <c r="K30" s="56">
        <v>2640</v>
      </c>
    </row>
    <row r="31" spans="1:11" ht="96">
      <c r="A31" s="36">
        <v>29</v>
      </c>
      <c r="B31" s="37" t="s">
        <v>279</v>
      </c>
      <c r="C31" s="7" t="s">
        <v>280</v>
      </c>
      <c r="D31" s="7" t="s">
        <v>32</v>
      </c>
      <c r="E31" s="38" t="s">
        <v>27</v>
      </c>
      <c r="F31" s="35">
        <v>44830</v>
      </c>
      <c r="G31" s="19">
        <v>44926</v>
      </c>
      <c r="H31" s="10">
        <v>2500</v>
      </c>
      <c r="I31" s="10">
        <v>2500</v>
      </c>
      <c r="J31" s="10">
        <v>2500</v>
      </c>
      <c r="K31" s="56">
        <v>2500</v>
      </c>
    </row>
    <row r="32" spans="1:11" ht="144">
      <c r="A32" s="36">
        <v>30</v>
      </c>
      <c r="B32" s="37" t="s">
        <v>281</v>
      </c>
      <c r="C32" s="7" t="s">
        <v>282</v>
      </c>
      <c r="D32" s="7" t="s">
        <v>32</v>
      </c>
      <c r="E32" s="38" t="s">
        <v>27</v>
      </c>
      <c r="F32" s="35">
        <v>44763</v>
      </c>
      <c r="G32" s="19">
        <v>44926</v>
      </c>
      <c r="H32" s="10">
        <v>4935</v>
      </c>
      <c r="I32" s="10">
        <v>4935</v>
      </c>
      <c r="J32" s="10">
        <v>4935</v>
      </c>
      <c r="K32" s="56">
        <v>4935</v>
      </c>
    </row>
    <row r="33" spans="1:11" ht="96">
      <c r="A33" s="36">
        <v>31</v>
      </c>
      <c r="B33" s="37" t="s">
        <v>162</v>
      </c>
      <c r="C33" s="7" t="s">
        <v>283</v>
      </c>
      <c r="D33" s="7" t="s">
        <v>32</v>
      </c>
      <c r="E33" s="38" t="s">
        <v>94</v>
      </c>
      <c r="F33" s="35">
        <v>44774</v>
      </c>
      <c r="G33" s="19">
        <v>44926</v>
      </c>
      <c r="H33" s="10">
        <v>24255</v>
      </c>
      <c r="I33" s="10">
        <v>24255</v>
      </c>
      <c r="J33" s="10">
        <v>24255</v>
      </c>
      <c r="K33" s="56">
        <v>24255</v>
      </c>
    </row>
    <row r="34" spans="1:11" ht="96">
      <c r="A34" s="36">
        <v>32</v>
      </c>
      <c r="B34" s="54" t="s">
        <v>284</v>
      </c>
      <c r="C34" s="7" t="s">
        <v>285</v>
      </c>
      <c r="D34" s="7" t="s">
        <v>32</v>
      </c>
      <c r="E34" s="38" t="s">
        <v>27</v>
      </c>
      <c r="F34" s="35">
        <v>44818</v>
      </c>
      <c r="G34" s="19">
        <v>44926</v>
      </c>
      <c r="H34" s="10">
        <v>18000</v>
      </c>
      <c r="I34" s="10">
        <v>18000</v>
      </c>
      <c r="J34" s="10">
        <v>18000</v>
      </c>
      <c r="K34" s="56">
        <v>18000</v>
      </c>
    </row>
    <row r="35" spans="1:11" ht="96">
      <c r="A35" s="36">
        <v>33</v>
      </c>
      <c r="B35" s="54" t="s">
        <v>28</v>
      </c>
      <c r="C35" s="7" t="s">
        <v>286</v>
      </c>
      <c r="D35" s="7" t="s">
        <v>32</v>
      </c>
      <c r="E35" s="38" t="s">
        <v>27</v>
      </c>
      <c r="F35" s="35">
        <v>44866</v>
      </c>
      <c r="G35" s="19">
        <v>45291</v>
      </c>
      <c r="H35" s="10">
        <v>11000</v>
      </c>
      <c r="I35" s="10">
        <v>5500</v>
      </c>
      <c r="J35" s="10"/>
      <c r="K35" s="56"/>
    </row>
    <row r="36" spans="1:11" ht="72">
      <c r="A36" s="36">
        <v>34</v>
      </c>
      <c r="B36" s="54" t="s">
        <v>287</v>
      </c>
      <c r="C36" s="7" t="s">
        <v>288</v>
      </c>
      <c r="D36" s="7" t="s">
        <v>32</v>
      </c>
      <c r="E36" s="38" t="s">
        <v>289</v>
      </c>
      <c r="F36" s="35">
        <v>44893</v>
      </c>
      <c r="G36" s="19">
        <v>44926</v>
      </c>
      <c r="H36" s="10">
        <v>3816</v>
      </c>
      <c r="I36" s="10">
        <v>3816</v>
      </c>
      <c r="J36" s="10">
        <v>3816</v>
      </c>
      <c r="K36" s="56">
        <v>3816</v>
      </c>
    </row>
    <row r="37" spans="1:11" ht="24">
      <c r="A37" s="36">
        <v>35</v>
      </c>
      <c r="B37" s="54"/>
      <c r="C37" s="7" t="s">
        <v>290</v>
      </c>
      <c r="D37" s="7" t="s">
        <v>32</v>
      </c>
      <c r="E37" s="38" t="s">
        <v>27</v>
      </c>
      <c r="F37" s="35">
        <v>44893</v>
      </c>
      <c r="G37" s="19">
        <v>44926</v>
      </c>
      <c r="H37" s="10">
        <v>2965</v>
      </c>
      <c r="I37" s="10">
        <v>2965</v>
      </c>
      <c r="J37" s="10">
        <v>2965</v>
      </c>
      <c r="K37" s="56">
        <v>2965</v>
      </c>
    </row>
    <row r="38" spans="1:11" ht="24">
      <c r="A38" s="36">
        <v>36</v>
      </c>
      <c r="B38" s="54"/>
      <c r="C38" s="7" t="s">
        <v>291</v>
      </c>
      <c r="D38" s="7" t="s">
        <v>32</v>
      </c>
      <c r="E38" s="38" t="s">
        <v>27</v>
      </c>
      <c r="F38" s="35"/>
      <c r="G38" s="19">
        <v>44926</v>
      </c>
      <c r="H38" s="10">
        <v>14350</v>
      </c>
      <c r="I38" s="10">
        <v>14350</v>
      </c>
      <c r="J38" s="10">
        <v>14350</v>
      </c>
      <c r="K38" s="56">
        <v>14350</v>
      </c>
    </row>
    <row r="39" spans="1:11" ht="24">
      <c r="A39" s="36">
        <v>37</v>
      </c>
      <c r="B39" s="54"/>
      <c r="C39" s="7" t="s">
        <v>292</v>
      </c>
      <c r="D39" s="7" t="s">
        <v>32</v>
      </c>
      <c r="E39" s="38" t="s">
        <v>289</v>
      </c>
      <c r="F39" s="35">
        <v>44921</v>
      </c>
      <c r="G39" s="19">
        <v>44926</v>
      </c>
      <c r="H39" s="10">
        <v>23000</v>
      </c>
      <c r="I39" s="10">
        <v>23000</v>
      </c>
      <c r="J39" s="10">
        <v>23000</v>
      </c>
      <c r="K39" s="56">
        <v>23000</v>
      </c>
    </row>
    <row r="40" spans="1:11" ht="23">
      <c r="A40" s="66"/>
      <c r="B40" s="67"/>
      <c r="C40" s="68"/>
      <c r="D40" s="68"/>
      <c r="E40" s="69"/>
      <c r="F40" s="70"/>
      <c r="G40" s="70"/>
      <c r="H40" s="71"/>
      <c r="I40" s="71"/>
      <c r="J40" s="71"/>
      <c r="K40" s="72"/>
    </row>
    <row r="41" spans="1:11" ht="24" thickBot="1">
      <c r="A41" s="115" t="s">
        <v>236</v>
      </c>
      <c r="B41" s="116"/>
      <c r="C41" s="116"/>
      <c r="D41" s="116"/>
      <c r="E41" s="116"/>
      <c r="F41" s="116"/>
      <c r="G41" s="116"/>
      <c r="H41" s="117"/>
      <c r="I41" s="74">
        <f>SUM(I3:I39)</f>
        <v>4130880.79</v>
      </c>
      <c r="J41" s="74">
        <f>SUM(J3:J39)</f>
        <v>3758006</v>
      </c>
      <c r="K41" s="75">
        <f t="shared" ref="K41" si="0">SUM(K3:K39)</f>
        <v>3493714.79</v>
      </c>
    </row>
  </sheetData>
  <mergeCells count="1">
    <mergeCell ref="A41:H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topLeftCell="B1" zoomScale="61" zoomScaleNormal="55" workbookViewId="0">
      <selection activeCell="E1" sqref="E1:E1048576"/>
    </sheetView>
  </sheetViews>
  <sheetFormatPr baseColWidth="10" defaultColWidth="8.83203125" defaultRowHeight="15"/>
  <cols>
    <col min="1" max="1" width="10.5" bestFit="1" customWidth="1"/>
    <col min="2" max="2" width="81.33203125" customWidth="1"/>
    <col min="3" max="3" width="33.5" customWidth="1"/>
    <col min="4" max="4" width="31.1640625" customWidth="1"/>
    <col min="5" max="5" width="29.5" customWidth="1"/>
    <col min="6" max="6" width="19.5" customWidth="1"/>
    <col min="7" max="7" width="24.5" customWidth="1"/>
    <col min="8" max="8" width="36.6640625" customWidth="1"/>
    <col min="9" max="9" width="37" customWidth="1"/>
    <col min="10" max="10" width="31.1640625" customWidth="1"/>
    <col min="11" max="11" width="26.33203125" customWidth="1"/>
  </cols>
  <sheetData>
    <row r="1" spans="1:11" ht="16" thickBot="1"/>
    <row r="2" spans="1:11" ht="97" thickBot="1">
      <c r="A2" s="1" t="s">
        <v>0</v>
      </c>
      <c r="B2" s="2" t="s">
        <v>1</v>
      </c>
      <c r="C2" s="2" t="s">
        <v>2</v>
      </c>
      <c r="D2" s="3" t="s">
        <v>3</v>
      </c>
      <c r="E2" s="4"/>
      <c r="F2" s="3" t="s">
        <v>4</v>
      </c>
      <c r="G2" s="3" t="s">
        <v>5</v>
      </c>
      <c r="H2" s="5" t="s">
        <v>6</v>
      </c>
      <c r="I2" s="5" t="s">
        <v>168</v>
      </c>
      <c r="J2" s="5" t="s">
        <v>169</v>
      </c>
      <c r="K2" s="11" t="s">
        <v>170</v>
      </c>
    </row>
    <row r="3" spans="1:11" ht="48">
      <c r="A3" s="21">
        <v>1</v>
      </c>
      <c r="B3" s="22" t="s">
        <v>10</v>
      </c>
      <c r="C3" s="23">
        <v>777926</v>
      </c>
      <c r="D3" s="24" t="s">
        <v>18</v>
      </c>
      <c r="E3" s="25"/>
      <c r="F3" s="55">
        <v>43132</v>
      </c>
      <c r="G3" s="55">
        <v>44561</v>
      </c>
      <c r="H3" s="27" t="s">
        <v>12</v>
      </c>
      <c r="I3" s="27">
        <v>2950000</v>
      </c>
      <c r="J3" s="28">
        <f>1392564</f>
        <v>1392564</v>
      </c>
      <c r="K3" s="29"/>
    </row>
    <row r="4" spans="1:11" ht="72">
      <c r="A4" s="36">
        <f>A3+1</f>
        <v>2</v>
      </c>
      <c r="B4" s="37" t="s">
        <v>19</v>
      </c>
      <c r="C4" s="7" t="s">
        <v>20</v>
      </c>
      <c r="D4" s="7" t="s">
        <v>21</v>
      </c>
      <c r="E4" s="38" t="s">
        <v>22</v>
      </c>
      <c r="F4" s="35">
        <v>44127</v>
      </c>
      <c r="G4" s="19">
        <v>45222</v>
      </c>
      <c r="H4" s="10" t="s">
        <v>23</v>
      </c>
      <c r="I4" s="10">
        <v>325851.21000000002</v>
      </c>
      <c r="J4" s="10">
        <f>192644.26+52247.05+10556.7+70403.2</f>
        <v>325851.21000000002</v>
      </c>
      <c r="K4" s="56"/>
    </row>
    <row r="5" spans="1:11" ht="24">
      <c r="A5" s="39">
        <f t="shared" ref="A5:A68" si="0">A4+1</f>
        <v>3</v>
      </c>
      <c r="B5" s="40" t="s">
        <v>24</v>
      </c>
      <c r="C5" s="41" t="s">
        <v>25</v>
      </c>
      <c r="D5" s="42" t="s">
        <v>26</v>
      </c>
      <c r="E5" s="43" t="s">
        <v>27</v>
      </c>
      <c r="F5" s="44">
        <v>43902</v>
      </c>
      <c r="G5" s="44">
        <v>44227</v>
      </c>
      <c r="H5" s="45">
        <v>1150</v>
      </c>
      <c r="I5" s="45">
        <v>1150</v>
      </c>
      <c r="J5" s="46"/>
      <c r="K5" s="57">
        <v>1150</v>
      </c>
    </row>
    <row r="6" spans="1:11" ht="96">
      <c r="A6" s="39">
        <f t="shared" si="0"/>
        <v>4</v>
      </c>
      <c r="B6" s="12" t="s">
        <v>28</v>
      </c>
      <c r="C6" s="13" t="s">
        <v>29</v>
      </c>
      <c r="D6" s="47" t="s">
        <v>26</v>
      </c>
      <c r="E6" s="48" t="s">
        <v>27</v>
      </c>
      <c r="F6" s="35">
        <v>44013</v>
      </c>
      <c r="G6" s="35">
        <v>44227</v>
      </c>
      <c r="H6" s="9">
        <v>2200</v>
      </c>
      <c r="I6" s="9">
        <v>2200</v>
      </c>
      <c r="J6" s="10"/>
      <c r="K6" s="56">
        <v>2200</v>
      </c>
    </row>
    <row r="7" spans="1:11" ht="96">
      <c r="A7" s="39">
        <f t="shared" si="0"/>
        <v>5</v>
      </c>
      <c r="B7" s="37" t="s">
        <v>30</v>
      </c>
      <c r="C7" s="7" t="s">
        <v>31</v>
      </c>
      <c r="D7" s="7" t="s">
        <v>32</v>
      </c>
      <c r="E7" s="38" t="s">
        <v>27</v>
      </c>
      <c r="F7" s="35">
        <v>44295</v>
      </c>
      <c r="G7" s="19">
        <v>44561</v>
      </c>
      <c r="H7" s="10">
        <v>139400</v>
      </c>
      <c r="I7" s="10">
        <v>139400</v>
      </c>
      <c r="J7" s="10">
        <f>69700+69700</f>
        <v>139400</v>
      </c>
      <c r="K7" s="56">
        <f>69700+69700</f>
        <v>139400</v>
      </c>
    </row>
    <row r="8" spans="1:11" ht="96">
      <c r="A8" s="39">
        <f t="shared" si="0"/>
        <v>6</v>
      </c>
      <c r="B8" s="37" t="s">
        <v>33</v>
      </c>
      <c r="C8" s="7" t="s">
        <v>34</v>
      </c>
      <c r="D8" s="7" t="s">
        <v>32</v>
      </c>
      <c r="E8" s="38" t="s">
        <v>27</v>
      </c>
      <c r="F8" s="35">
        <v>44250</v>
      </c>
      <c r="G8" s="19">
        <v>44561</v>
      </c>
      <c r="H8" s="10">
        <v>31900</v>
      </c>
      <c r="I8" s="10">
        <v>31900</v>
      </c>
      <c r="J8" s="10">
        <f>7975+7975+7975+7975</f>
        <v>31900</v>
      </c>
      <c r="K8" s="56">
        <f>7975+7975+7975+7975</f>
        <v>31900</v>
      </c>
    </row>
    <row r="9" spans="1:11" ht="96">
      <c r="A9" s="39">
        <f t="shared" si="0"/>
        <v>7</v>
      </c>
      <c r="B9" s="37" t="s">
        <v>28</v>
      </c>
      <c r="C9" s="7" t="s">
        <v>35</v>
      </c>
      <c r="D9" s="7" t="s">
        <v>32</v>
      </c>
      <c r="E9" s="38" t="s">
        <v>27</v>
      </c>
      <c r="F9" s="35">
        <v>44198</v>
      </c>
      <c r="G9" s="19">
        <v>44561</v>
      </c>
      <c r="H9" s="10">
        <v>11000</v>
      </c>
      <c r="I9" s="10">
        <v>11000</v>
      </c>
      <c r="J9" s="10">
        <f>5500+5500</f>
        <v>11000</v>
      </c>
      <c r="K9" s="56">
        <v>5500</v>
      </c>
    </row>
    <row r="10" spans="1:11" ht="120">
      <c r="A10" s="39">
        <f t="shared" si="0"/>
        <v>8</v>
      </c>
      <c r="B10" s="37" t="s">
        <v>36</v>
      </c>
      <c r="C10" s="7" t="s">
        <v>37</v>
      </c>
      <c r="D10" s="7" t="s">
        <v>32</v>
      </c>
      <c r="E10" s="38" t="s">
        <v>27</v>
      </c>
      <c r="F10" s="35">
        <v>44242</v>
      </c>
      <c r="G10" s="19">
        <v>44561</v>
      </c>
      <c r="H10" s="10">
        <v>9150</v>
      </c>
      <c r="I10" s="10">
        <v>9150</v>
      </c>
      <c r="J10" s="10">
        <f>2287.5+2287.5+2287.5+2287.5</f>
        <v>9150</v>
      </c>
      <c r="K10" s="56">
        <v>9150</v>
      </c>
    </row>
    <row r="11" spans="1:11" ht="144">
      <c r="A11" s="39">
        <f t="shared" si="0"/>
        <v>9</v>
      </c>
      <c r="B11" s="37" t="s">
        <v>38</v>
      </c>
      <c r="C11" s="7" t="s">
        <v>39</v>
      </c>
      <c r="D11" s="7" t="s">
        <v>32</v>
      </c>
      <c r="E11" s="38" t="s">
        <v>27</v>
      </c>
      <c r="F11" s="35">
        <v>44537</v>
      </c>
      <c r="G11" s="19">
        <v>44561</v>
      </c>
      <c r="H11" s="10">
        <v>17280</v>
      </c>
      <c r="I11" s="10">
        <v>17280</v>
      </c>
      <c r="J11" s="10">
        <v>17280</v>
      </c>
      <c r="K11" s="56">
        <v>17280</v>
      </c>
    </row>
    <row r="12" spans="1:11" ht="144">
      <c r="A12" s="39">
        <f t="shared" si="0"/>
        <v>10</v>
      </c>
      <c r="B12" s="37" t="s">
        <v>40</v>
      </c>
      <c r="C12" s="7" t="s">
        <v>41</v>
      </c>
      <c r="D12" s="7" t="s">
        <v>32</v>
      </c>
      <c r="E12" s="38" t="s">
        <v>42</v>
      </c>
      <c r="F12" s="35">
        <v>44202</v>
      </c>
      <c r="G12" s="19">
        <v>44561</v>
      </c>
      <c r="H12" s="10">
        <v>640</v>
      </c>
      <c r="I12" s="10">
        <v>640</v>
      </c>
      <c r="J12" s="10">
        <v>640</v>
      </c>
      <c r="K12" s="56">
        <v>640</v>
      </c>
    </row>
    <row r="13" spans="1:11" ht="144">
      <c r="A13" s="39">
        <f t="shared" si="0"/>
        <v>11</v>
      </c>
      <c r="B13" s="37" t="s">
        <v>43</v>
      </c>
      <c r="C13" s="7" t="s">
        <v>44</v>
      </c>
      <c r="D13" s="7" t="s">
        <v>32</v>
      </c>
      <c r="E13" s="38" t="s">
        <v>45</v>
      </c>
      <c r="F13" s="35">
        <v>44228</v>
      </c>
      <c r="G13" s="19">
        <v>44561</v>
      </c>
      <c r="H13" s="10">
        <v>5400</v>
      </c>
      <c r="I13" s="10">
        <v>5400</v>
      </c>
      <c r="J13" s="10">
        <v>5400</v>
      </c>
      <c r="K13" s="56">
        <v>5400</v>
      </c>
    </row>
    <row r="14" spans="1:11" ht="96">
      <c r="A14" s="39">
        <f t="shared" si="0"/>
        <v>12</v>
      </c>
      <c r="B14" s="37" t="s">
        <v>46</v>
      </c>
      <c r="C14" s="7" t="s">
        <v>47</v>
      </c>
      <c r="D14" s="7" t="s">
        <v>32</v>
      </c>
      <c r="E14" s="38" t="s">
        <v>48</v>
      </c>
      <c r="F14" s="35">
        <v>44237</v>
      </c>
      <c r="G14" s="19">
        <v>44561</v>
      </c>
      <c r="H14" s="10">
        <v>4260</v>
      </c>
      <c r="I14" s="10">
        <v>4260</v>
      </c>
      <c r="J14" s="10">
        <v>4260</v>
      </c>
      <c r="K14" s="56">
        <v>4260</v>
      </c>
    </row>
    <row r="15" spans="1:11" ht="144">
      <c r="A15" s="39">
        <f t="shared" si="0"/>
        <v>13</v>
      </c>
      <c r="B15" s="37" t="s">
        <v>49</v>
      </c>
      <c r="C15" s="7" t="s">
        <v>50</v>
      </c>
      <c r="D15" s="7" t="s">
        <v>32</v>
      </c>
      <c r="E15" s="38" t="s">
        <v>27</v>
      </c>
      <c r="F15" s="35">
        <v>44228</v>
      </c>
      <c r="G15" s="19">
        <v>44561</v>
      </c>
      <c r="H15" s="10">
        <v>12300</v>
      </c>
      <c r="I15" s="10">
        <v>12300</v>
      </c>
      <c r="J15" s="10">
        <f>6300+6000</f>
        <v>12300</v>
      </c>
      <c r="K15" s="56">
        <f>6000+300+6000</f>
        <v>12300</v>
      </c>
    </row>
    <row r="16" spans="1:11" ht="96">
      <c r="A16" s="39">
        <f t="shared" si="0"/>
        <v>14</v>
      </c>
      <c r="B16" s="37" t="s">
        <v>46</v>
      </c>
      <c r="C16" s="7" t="s">
        <v>51</v>
      </c>
      <c r="D16" s="7" t="s">
        <v>32</v>
      </c>
      <c r="E16" s="38" t="s">
        <v>27</v>
      </c>
      <c r="F16" s="35">
        <v>44242</v>
      </c>
      <c r="G16" s="19">
        <v>44561</v>
      </c>
      <c r="H16" s="10">
        <v>17800</v>
      </c>
      <c r="I16" s="10">
        <v>17800</v>
      </c>
      <c r="J16" s="10"/>
      <c r="K16" s="56"/>
    </row>
    <row r="17" spans="1:11" ht="144">
      <c r="A17" s="39">
        <f t="shared" si="0"/>
        <v>15</v>
      </c>
      <c r="B17" s="37" t="s">
        <v>52</v>
      </c>
      <c r="C17" s="7" t="s">
        <v>53</v>
      </c>
      <c r="D17" s="7" t="s">
        <v>32</v>
      </c>
      <c r="E17" s="38" t="s">
        <v>27</v>
      </c>
      <c r="F17" s="35">
        <v>44256</v>
      </c>
      <c r="G17" s="19">
        <v>44561</v>
      </c>
      <c r="H17" s="10">
        <v>23550</v>
      </c>
      <c r="I17" s="10">
        <v>23550</v>
      </c>
      <c r="J17" s="10">
        <f>9275+2500+9275+2500</f>
        <v>23550</v>
      </c>
      <c r="K17" s="56">
        <f>9275+2500+9275+2500</f>
        <v>23550</v>
      </c>
    </row>
    <row r="18" spans="1:11" ht="144">
      <c r="A18" s="39">
        <f t="shared" si="0"/>
        <v>16</v>
      </c>
      <c r="B18" s="37" t="s">
        <v>54</v>
      </c>
      <c r="C18" s="7" t="s">
        <v>55</v>
      </c>
      <c r="D18" s="7" t="s">
        <v>32</v>
      </c>
      <c r="E18" s="38" t="s">
        <v>27</v>
      </c>
      <c r="F18" s="35">
        <v>44278</v>
      </c>
      <c r="G18" s="19">
        <v>44561</v>
      </c>
      <c r="H18" s="10">
        <v>960</v>
      </c>
      <c r="I18" s="10">
        <v>960</v>
      </c>
      <c r="J18" s="10">
        <f>960</f>
        <v>960</v>
      </c>
      <c r="K18" s="56">
        <f>960</f>
        <v>960</v>
      </c>
    </row>
    <row r="19" spans="1:11" ht="144">
      <c r="A19" s="39">
        <f t="shared" si="0"/>
        <v>17</v>
      </c>
      <c r="B19" s="37" t="s">
        <v>56</v>
      </c>
      <c r="C19" s="7" t="s">
        <v>57</v>
      </c>
      <c r="D19" s="7" t="s">
        <v>32</v>
      </c>
      <c r="E19" s="38" t="s">
        <v>27</v>
      </c>
      <c r="F19" s="35">
        <v>44281</v>
      </c>
      <c r="G19" s="19">
        <v>44561</v>
      </c>
      <c r="H19" s="10">
        <v>12600</v>
      </c>
      <c r="I19" s="10">
        <v>12600</v>
      </c>
      <c r="J19" s="10">
        <f>4850+1250+1250+5250</f>
        <v>12600</v>
      </c>
      <c r="K19" s="56">
        <f>4850+1250+1250+5250</f>
        <v>12600</v>
      </c>
    </row>
    <row r="20" spans="1:11" ht="144">
      <c r="A20" s="39">
        <f t="shared" si="0"/>
        <v>18</v>
      </c>
      <c r="B20" s="37" t="s">
        <v>58</v>
      </c>
      <c r="C20" s="7" t="s">
        <v>59</v>
      </c>
      <c r="D20" s="7" t="s">
        <v>32</v>
      </c>
      <c r="E20" s="38" t="s">
        <v>27</v>
      </c>
      <c r="F20" s="35">
        <v>44298</v>
      </c>
      <c r="G20" s="19">
        <v>44561</v>
      </c>
      <c r="H20" s="10">
        <v>12650</v>
      </c>
      <c r="I20" s="10">
        <v>12650</v>
      </c>
      <c r="J20" s="10">
        <f>3600+3600+5450</f>
        <v>12650</v>
      </c>
      <c r="K20" s="56">
        <f>3600+3600+5450</f>
        <v>12650</v>
      </c>
    </row>
    <row r="21" spans="1:11" ht="144">
      <c r="A21" s="39">
        <f t="shared" si="0"/>
        <v>19</v>
      </c>
      <c r="B21" s="37" t="s">
        <v>60</v>
      </c>
      <c r="C21" s="7" t="s">
        <v>61</v>
      </c>
      <c r="D21" s="7" t="s">
        <v>32</v>
      </c>
      <c r="E21" s="38" t="s">
        <v>27</v>
      </c>
      <c r="F21" s="35">
        <v>44280</v>
      </c>
      <c r="G21" s="19">
        <v>44561</v>
      </c>
      <c r="H21" s="10">
        <v>8370</v>
      </c>
      <c r="I21" s="10">
        <v>8370</v>
      </c>
      <c r="J21" s="10">
        <f>1250+4620+1250+1250</f>
        <v>8370</v>
      </c>
      <c r="K21" s="56">
        <f>1250+4620+1250+1250</f>
        <v>8370</v>
      </c>
    </row>
    <row r="22" spans="1:11" ht="144">
      <c r="A22" s="39">
        <f t="shared" si="0"/>
        <v>20</v>
      </c>
      <c r="B22" s="37" t="s">
        <v>62</v>
      </c>
      <c r="C22" s="7" t="s">
        <v>63</v>
      </c>
      <c r="D22" s="7" t="s">
        <v>32</v>
      </c>
      <c r="E22" s="38" t="s">
        <v>45</v>
      </c>
      <c r="F22" s="35">
        <v>44278</v>
      </c>
      <c r="G22" s="19">
        <v>44561</v>
      </c>
      <c r="H22" s="10">
        <v>18200</v>
      </c>
      <c r="I22" s="10">
        <v>18200</v>
      </c>
      <c r="J22" s="10">
        <f>1300+14300</f>
        <v>15600</v>
      </c>
      <c r="K22" s="56">
        <f>1300+7000+7300</f>
        <v>15600</v>
      </c>
    </row>
    <row r="23" spans="1:11" ht="144">
      <c r="A23" s="39">
        <f t="shared" si="0"/>
        <v>21</v>
      </c>
      <c r="B23" s="37" t="s">
        <v>64</v>
      </c>
      <c r="C23" s="7" t="s">
        <v>65</v>
      </c>
      <c r="D23" s="7" t="s">
        <v>32</v>
      </c>
      <c r="E23" s="38" t="s">
        <v>27</v>
      </c>
      <c r="F23" s="35">
        <v>44302</v>
      </c>
      <c r="G23" s="19">
        <v>44561</v>
      </c>
      <c r="H23" s="10">
        <v>4647</v>
      </c>
      <c r="I23" s="10">
        <v>4647</v>
      </c>
      <c r="J23" s="10">
        <v>4647</v>
      </c>
      <c r="K23" s="56">
        <v>4647</v>
      </c>
    </row>
    <row r="24" spans="1:11" ht="48">
      <c r="A24" s="39">
        <f t="shared" si="0"/>
        <v>22</v>
      </c>
      <c r="B24" s="37" t="s">
        <v>66</v>
      </c>
      <c r="C24" s="7" t="s">
        <v>67</v>
      </c>
      <c r="D24" s="7" t="s">
        <v>18</v>
      </c>
      <c r="E24" s="38" t="s">
        <v>68</v>
      </c>
      <c r="F24" s="35">
        <v>44304</v>
      </c>
      <c r="G24" s="19">
        <v>44561</v>
      </c>
      <c r="H24" s="10">
        <v>1000</v>
      </c>
      <c r="I24" s="10">
        <v>1000</v>
      </c>
      <c r="J24" s="10"/>
      <c r="K24" s="56"/>
    </row>
    <row r="25" spans="1:11" ht="144">
      <c r="A25" s="39">
        <f t="shared" si="0"/>
        <v>23</v>
      </c>
      <c r="B25" s="37" t="s">
        <v>69</v>
      </c>
      <c r="C25" s="7" t="s">
        <v>70</v>
      </c>
      <c r="D25" s="7" t="s">
        <v>32</v>
      </c>
      <c r="E25" s="38" t="s">
        <v>27</v>
      </c>
      <c r="F25" s="35">
        <v>44294</v>
      </c>
      <c r="G25" s="19">
        <v>44561</v>
      </c>
      <c r="H25" s="10">
        <v>16470</v>
      </c>
      <c r="I25" s="10">
        <v>16470</v>
      </c>
      <c r="J25" s="10">
        <v>16470</v>
      </c>
      <c r="K25" s="56">
        <v>16470</v>
      </c>
    </row>
    <row r="26" spans="1:11" ht="120">
      <c r="A26" s="39">
        <f t="shared" si="0"/>
        <v>24</v>
      </c>
      <c r="B26" s="37" t="s">
        <v>71</v>
      </c>
      <c r="C26" s="7" t="s">
        <v>72</v>
      </c>
      <c r="D26" s="7" t="s">
        <v>32</v>
      </c>
      <c r="E26" s="38" t="s">
        <v>27</v>
      </c>
      <c r="F26" s="35">
        <v>44288</v>
      </c>
      <c r="G26" s="19">
        <v>44561</v>
      </c>
      <c r="H26" s="10">
        <v>7900</v>
      </c>
      <c r="I26" s="10">
        <v>7900</v>
      </c>
      <c r="J26" s="10">
        <v>7900</v>
      </c>
      <c r="K26" s="56">
        <v>7900</v>
      </c>
    </row>
    <row r="27" spans="1:11" ht="144">
      <c r="A27" s="39">
        <f t="shared" si="0"/>
        <v>25</v>
      </c>
      <c r="B27" s="37" t="s">
        <v>73</v>
      </c>
      <c r="C27" s="7" t="s">
        <v>74</v>
      </c>
      <c r="D27" s="7" t="s">
        <v>32</v>
      </c>
      <c r="E27" s="38" t="s">
        <v>75</v>
      </c>
      <c r="F27" s="35">
        <v>44298</v>
      </c>
      <c r="G27" s="19">
        <v>44561</v>
      </c>
      <c r="H27" s="10">
        <v>15460</v>
      </c>
      <c r="I27" s="10">
        <v>15460</v>
      </c>
      <c r="J27" s="10">
        <v>15460</v>
      </c>
      <c r="K27" s="56">
        <v>15460</v>
      </c>
    </row>
    <row r="28" spans="1:11" ht="120">
      <c r="A28" s="39">
        <f t="shared" si="0"/>
        <v>26</v>
      </c>
      <c r="B28" s="37" t="s">
        <v>76</v>
      </c>
      <c r="C28" s="7" t="s">
        <v>77</v>
      </c>
      <c r="D28" s="7" t="s">
        <v>32</v>
      </c>
      <c r="E28" s="38" t="s">
        <v>27</v>
      </c>
      <c r="F28" s="35">
        <v>44341</v>
      </c>
      <c r="G28" s="19">
        <v>44561</v>
      </c>
      <c r="H28" s="10">
        <v>2300</v>
      </c>
      <c r="I28" s="10">
        <v>2300</v>
      </c>
      <c r="J28" s="10">
        <v>2300</v>
      </c>
      <c r="K28" s="56">
        <v>2300</v>
      </c>
    </row>
    <row r="29" spans="1:11" ht="96">
      <c r="A29" s="39">
        <f t="shared" si="0"/>
        <v>27</v>
      </c>
      <c r="B29" s="37" t="s">
        <v>78</v>
      </c>
      <c r="C29" s="7" t="s">
        <v>79</v>
      </c>
      <c r="D29" s="7" t="s">
        <v>32</v>
      </c>
      <c r="E29" s="38" t="s">
        <v>27</v>
      </c>
      <c r="F29" s="35">
        <v>44335</v>
      </c>
      <c r="G29" s="19">
        <v>44561</v>
      </c>
      <c r="H29" s="10">
        <v>2375</v>
      </c>
      <c r="I29" s="10">
        <v>2375</v>
      </c>
      <c r="J29" s="10">
        <v>2375</v>
      </c>
      <c r="K29" s="56">
        <v>2375</v>
      </c>
    </row>
    <row r="30" spans="1:11" ht="48">
      <c r="A30" s="39">
        <f t="shared" si="0"/>
        <v>28</v>
      </c>
      <c r="B30" s="37" t="s">
        <v>80</v>
      </c>
      <c r="C30" s="7" t="s">
        <v>81</v>
      </c>
      <c r="D30" s="7" t="s">
        <v>32</v>
      </c>
      <c r="E30" s="38" t="s">
        <v>27</v>
      </c>
      <c r="F30" s="35">
        <v>44335</v>
      </c>
      <c r="G30" s="19">
        <v>44561</v>
      </c>
      <c r="H30" s="10">
        <v>330</v>
      </c>
      <c r="I30" s="10">
        <v>330</v>
      </c>
      <c r="J30" s="10">
        <v>330</v>
      </c>
      <c r="K30" s="56">
        <v>330</v>
      </c>
    </row>
    <row r="31" spans="1:11" ht="48">
      <c r="A31" s="39">
        <f t="shared" si="0"/>
        <v>29</v>
      </c>
      <c r="B31" s="37" t="s">
        <v>82</v>
      </c>
      <c r="C31" s="7" t="s">
        <v>83</v>
      </c>
      <c r="D31" s="7" t="s">
        <v>32</v>
      </c>
      <c r="E31" s="38" t="s">
        <v>84</v>
      </c>
      <c r="F31" s="35"/>
      <c r="G31" s="19">
        <v>44561</v>
      </c>
      <c r="H31" s="10">
        <v>4600</v>
      </c>
      <c r="I31" s="10">
        <v>4600</v>
      </c>
      <c r="J31" s="10">
        <v>4600</v>
      </c>
      <c r="K31" s="56">
        <v>4600</v>
      </c>
    </row>
    <row r="32" spans="1:11" ht="48">
      <c r="A32" s="39">
        <f t="shared" si="0"/>
        <v>30</v>
      </c>
      <c r="B32" s="37" t="s">
        <v>82</v>
      </c>
      <c r="C32" s="7" t="s">
        <v>85</v>
      </c>
      <c r="D32" s="7" t="s">
        <v>32</v>
      </c>
      <c r="E32" s="38" t="s">
        <v>86</v>
      </c>
      <c r="F32" s="35">
        <v>44348</v>
      </c>
      <c r="G32" s="19">
        <v>44561</v>
      </c>
      <c r="H32" s="10">
        <v>17880</v>
      </c>
      <c r="I32" s="10">
        <v>17880</v>
      </c>
      <c r="J32" s="10">
        <v>17880</v>
      </c>
      <c r="K32" s="56">
        <v>17880</v>
      </c>
    </row>
    <row r="33" spans="1:11" ht="240">
      <c r="A33" s="39">
        <f t="shared" si="0"/>
        <v>31</v>
      </c>
      <c r="B33" s="37" t="s">
        <v>87</v>
      </c>
      <c r="C33" s="7" t="s">
        <v>88</v>
      </c>
      <c r="D33" s="7" t="s">
        <v>32</v>
      </c>
      <c r="E33" s="38" t="s">
        <v>27</v>
      </c>
      <c r="F33" s="35">
        <v>44354</v>
      </c>
      <c r="G33" s="19">
        <v>44561</v>
      </c>
      <c r="H33" s="10">
        <v>1000</v>
      </c>
      <c r="I33" s="10">
        <v>1000</v>
      </c>
      <c r="J33" s="10">
        <v>1000</v>
      </c>
      <c r="K33" s="56">
        <v>1000</v>
      </c>
    </row>
    <row r="34" spans="1:11" ht="168">
      <c r="A34" s="39">
        <f t="shared" si="0"/>
        <v>32</v>
      </c>
      <c r="B34" s="37" t="s">
        <v>89</v>
      </c>
      <c r="C34" s="7" t="s">
        <v>90</v>
      </c>
      <c r="D34" s="7" t="s">
        <v>32</v>
      </c>
      <c r="E34" s="38" t="s">
        <v>91</v>
      </c>
      <c r="F34" s="35">
        <v>44377</v>
      </c>
      <c r="G34" s="19">
        <v>44561</v>
      </c>
      <c r="H34" s="10">
        <v>4700</v>
      </c>
      <c r="I34" s="10">
        <v>4700</v>
      </c>
      <c r="J34" s="10">
        <v>4700</v>
      </c>
      <c r="K34" s="56">
        <v>4700</v>
      </c>
    </row>
    <row r="35" spans="1:11" ht="96">
      <c r="A35" s="39">
        <f t="shared" si="0"/>
        <v>33</v>
      </c>
      <c r="B35" s="37" t="s">
        <v>92</v>
      </c>
      <c r="C35" s="7" t="s">
        <v>93</v>
      </c>
      <c r="D35" s="7" t="s">
        <v>32</v>
      </c>
      <c r="E35" s="38" t="s">
        <v>94</v>
      </c>
      <c r="F35" s="49">
        <v>44357</v>
      </c>
      <c r="G35" s="19">
        <v>44561</v>
      </c>
      <c r="H35" s="10">
        <v>6200</v>
      </c>
      <c r="I35" s="10">
        <v>6200</v>
      </c>
      <c r="J35" s="10">
        <v>6200</v>
      </c>
      <c r="K35" s="56">
        <v>6200</v>
      </c>
    </row>
    <row r="36" spans="1:11" ht="48">
      <c r="A36" s="39">
        <f t="shared" si="0"/>
        <v>34</v>
      </c>
      <c r="B36" s="37" t="s">
        <v>95</v>
      </c>
      <c r="C36" s="7" t="s">
        <v>96</v>
      </c>
      <c r="D36" s="7" t="s">
        <v>32</v>
      </c>
      <c r="E36" s="38" t="s">
        <v>27</v>
      </c>
      <c r="F36" s="49">
        <v>44372</v>
      </c>
      <c r="G36" s="19">
        <v>44561</v>
      </c>
      <c r="H36" s="10">
        <v>2200</v>
      </c>
      <c r="I36" s="10">
        <v>2200</v>
      </c>
      <c r="J36" s="10">
        <v>2200</v>
      </c>
      <c r="K36" s="56">
        <v>2200</v>
      </c>
    </row>
    <row r="37" spans="1:11" ht="72">
      <c r="A37" s="39">
        <f t="shared" si="0"/>
        <v>35</v>
      </c>
      <c r="B37" s="37" t="s">
        <v>97</v>
      </c>
      <c r="C37" s="7" t="s">
        <v>98</v>
      </c>
      <c r="D37" s="7" t="s">
        <v>32</v>
      </c>
      <c r="E37" s="38" t="s">
        <v>91</v>
      </c>
      <c r="F37" s="49">
        <v>44370</v>
      </c>
      <c r="G37" s="19">
        <v>44561</v>
      </c>
      <c r="H37" s="10">
        <v>1800</v>
      </c>
      <c r="I37" s="10">
        <v>1800</v>
      </c>
      <c r="J37" s="10">
        <v>1800</v>
      </c>
      <c r="K37" s="56">
        <v>1800</v>
      </c>
    </row>
    <row r="38" spans="1:11" ht="144">
      <c r="A38" s="39">
        <f t="shared" si="0"/>
        <v>36</v>
      </c>
      <c r="B38" s="37" t="s">
        <v>99</v>
      </c>
      <c r="C38" s="7" t="s">
        <v>100</v>
      </c>
      <c r="D38" s="7" t="s">
        <v>32</v>
      </c>
      <c r="E38" s="38" t="s">
        <v>101</v>
      </c>
      <c r="F38" s="49">
        <v>44378</v>
      </c>
      <c r="G38" s="19">
        <v>44561</v>
      </c>
      <c r="H38" s="10">
        <v>20000</v>
      </c>
      <c r="I38" s="50">
        <v>20000</v>
      </c>
      <c r="J38" s="10">
        <v>20000</v>
      </c>
      <c r="K38" s="56">
        <f>10000+10000</f>
        <v>20000</v>
      </c>
    </row>
    <row r="39" spans="1:11" ht="216">
      <c r="A39" s="39">
        <f t="shared" si="0"/>
        <v>37</v>
      </c>
      <c r="B39" s="37" t="s">
        <v>102</v>
      </c>
      <c r="C39" s="7" t="s">
        <v>103</v>
      </c>
      <c r="D39" s="7" t="s">
        <v>32</v>
      </c>
      <c r="E39" s="38" t="s">
        <v>27</v>
      </c>
      <c r="F39" s="49">
        <v>44392</v>
      </c>
      <c r="G39" s="19">
        <v>44561</v>
      </c>
      <c r="H39" s="51">
        <v>4400</v>
      </c>
      <c r="I39" s="52">
        <v>4400</v>
      </c>
      <c r="J39" s="10">
        <v>4400</v>
      </c>
      <c r="K39" s="56">
        <v>4400</v>
      </c>
    </row>
    <row r="40" spans="1:11" ht="216">
      <c r="A40" s="39">
        <f t="shared" si="0"/>
        <v>38</v>
      </c>
      <c r="B40" s="37" t="s">
        <v>104</v>
      </c>
      <c r="C40" s="7" t="s">
        <v>105</v>
      </c>
      <c r="D40" s="7" t="s">
        <v>32</v>
      </c>
      <c r="E40" s="38" t="s">
        <v>27</v>
      </c>
      <c r="F40" s="49">
        <v>44348</v>
      </c>
      <c r="G40" s="19">
        <v>44561</v>
      </c>
      <c r="H40" s="51">
        <v>3800</v>
      </c>
      <c r="I40" s="52">
        <v>3800</v>
      </c>
      <c r="J40" s="10">
        <v>3800</v>
      </c>
      <c r="K40" s="56">
        <v>3800</v>
      </c>
    </row>
    <row r="41" spans="1:11" ht="72">
      <c r="A41" s="39">
        <f t="shared" si="0"/>
        <v>39</v>
      </c>
      <c r="B41" s="37" t="s">
        <v>106</v>
      </c>
      <c r="C41" s="7" t="s">
        <v>107</v>
      </c>
      <c r="D41" s="7" t="s">
        <v>32</v>
      </c>
      <c r="E41" s="38" t="s">
        <v>27</v>
      </c>
      <c r="F41" s="49">
        <v>44367</v>
      </c>
      <c r="G41" s="19">
        <v>44561</v>
      </c>
      <c r="H41" s="51">
        <v>875</v>
      </c>
      <c r="I41" s="52">
        <v>875</v>
      </c>
      <c r="J41" s="10">
        <v>875</v>
      </c>
      <c r="K41" s="56">
        <v>875</v>
      </c>
    </row>
    <row r="42" spans="1:11" ht="72">
      <c r="A42" s="39">
        <f t="shared" si="0"/>
        <v>40</v>
      </c>
      <c r="B42" s="37" t="s">
        <v>106</v>
      </c>
      <c r="C42" s="7" t="s">
        <v>108</v>
      </c>
      <c r="D42" s="7" t="s">
        <v>32</v>
      </c>
      <c r="E42" s="38" t="s">
        <v>27</v>
      </c>
      <c r="F42" s="49">
        <v>44367</v>
      </c>
      <c r="G42" s="19">
        <v>44561</v>
      </c>
      <c r="H42" s="51">
        <v>875</v>
      </c>
      <c r="I42" s="52">
        <v>875</v>
      </c>
      <c r="J42" s="10"/>
      <c r="K42" s="56"/>
    </row>
    <row r="43" spans="1:11" ht="120">
      <c r="A43" s="39">
        <f t="shared" si="0"/>
        <v>41</v>
      </c>
      <c r="B43" s="37" t="s">
        <v>109</v>
      </c>
      <c r="C43" s="7" t="s">
        <v>110</v>
      </c>
      <c r="D43" s="7" t="s">
        <v>32</v>
      </c>
      <c r="E43" s="38" t="s">
        <v>27</v>
      </c>
      <c r="F43" s="49">
        <v>44397</v>
      </c>
      <c r="G43" s="19">
        <v>44561</v>
      </c>
      <c r="H43" s="51">
        <v>2725</v>
      </c>
      <c r="I43" s="52">
        <v>2725</v>
      </c>
      <c r="J43" s="10">
        <v>2725</v>
      </c>
      <c r="K43" s="56">
        <v>2725</v>
      </c>
    </row>
    <row r="44" spans="1:11" ht="96">
      <c r="A44" s="39">
        <f t="shared" si="0"/>
        <v>42</v>
      </c>
      <c r="B44" s="37" t="s">
        <v>111</v>
      </c>
      <c r="C44" s="7" t="s">
        <v>112</v>
      </c>
      <c r="D44" s="7" t="s">
        <v>32</v>
      </c>
      <c r="E44" s="38" t="s">
        <v>27</v>
      </c>
      <c r="F44" s="49">
        <v>44396</v>
      </c>
      <c r="G44" s="19">
        <v>44561</v>
      </c>
      <c r="H44" s="51">
        <v>2500</v>
      </c>
      <c r="I44" s="52">
        <v>2500</v>
      </c>
      <c r="J44" s="10">
        <v>2500</v>
      </c>
      <c r="K44" s="56">
        <v>2500</v>
      </c>
    </row>
    <row r="45" spans="1:11" ht="96">
      <c r="A45" s="39">
        <f t="shared" si="0"/>
        <v>43</v>
      </c>
      <c r="B45" s="37" t="s">
        <v>113</v>
      </c>
      <c r="C45" s="7" t="s">
        <v>114</v>
      </c>
      <c r="D45" s="7" t="s">
        <v>32</v>
      </c>
      <c r="E45" s="38" t="s">
        <v>115</v>
      </c>
      <c r="F45" s="35">
        <v>44357</v>
      </c>
      <c r="G45" s="19">
        <v>44561</v>
      </c>
      <c r="H45" s="51">
        <v>5200</v>
      </c>
      <c r="I45" s="52">
        <v>5200</v>
      </c>
      <c r="J45" s="10">
        <v>5200</v>
      </c>
      <c r="K45" s="56">
        <v>5200</v>
      </c>
    </row>
    <row r="46" spans="1:11" ht="96">
      <c r="A46" s="39">
        <f t="shared" si="0"/>
        <v>44</v>
      </c>
      <c r="B46" s="37" t="s">
        <v>116</v>
      </c>
      <c r="C46" s="7" t="s">
        <v>117</v>
      </c>
      <c r="D46" s="7" t="s">
        <v>32</v>
      </c>
      <c r="E46" s="38" t="s">
        <v>118</v>
      </c>
      <c r="F46" s="35">
        <v>44378</v>
      </c>
      <c r="G46" s="19">
        <v>44561</v>
      </c>
      <c r="H46" s="10">
        <v>4000</v>
      </c>
      <c r="I46" s="50">
        <v>4000</v>
      </c>
      <c r="J46" s="10">
        <v>4000</v>
      </c>
      <c r="K46" s="56">
        <v>4000</v>
      </c>
    </row>
    <row r="47" spans="1:11" ht="96">
      <c r="A47" s="39">
        <f t="shared" si="0"/>
        <v>45</v>
      </c>
      <c r="B47" s="37" t="s">
        <v>119</v>
      </c>
      <c r="C47" s="7" t="s">
        <v>120</v>
      </c>
      <c r="D47" s="7" t="s">
        <v>32</v>
      </c>
      <c r="E47" s="38" t="s">
        <v>45</v>
      </c>
      <c r="F47" s="35">
        <v>44399</v>
      </c>
      <c r="G47" s="19">
        <v>44561</v>
      </c>
      <c r="H47" s="10">
        <v>3000</v>
      </c>
      <c r="I47" s="50">
        <v>3000</v>
      </c>
      <c r="J47" s="10">
        <v>3000</v>
      </c>
      <c r="K47" s="56">
        <v>3000</v>
      </c>
    </row>
    <row r="48" spans="1:11" ht="192">
      <c r="A48" s="39">
        <f t="shared" si="0"/>
        <v>46</v>
      </c>
      <c r="B48" s="37" t="s">
        <v>121</v>
      </c>
      <c r="C48" s="7" t="s">
        <v>122</v>
      </c>
      <c r="D48" s="7" t="s">
        <v>32</v>
      </c>
      <c r="E48" s="38" t="s">
        <v>27</v>
      </c>
      <c r="F48" s="35">
        <v>44409</v>
      </c>
      <c r="G48" s="19">
        <v>44561</v>
      </c>
      <c r="H48" s="10">
        <v>2675</v>
      </c>
      <c r="I48" s="10">
        <v>2675</v>
      </c>
      <c r="J48" s="10">
        <v>2675</v>
      </c>
      <c r="K48" s="56">
        <v>2675</v>
      </c>
    </row>
    <row r="49" spans="1:11" ht="144">
      <c r="A49" s="39">
        <f t="shared" si="0"/>
        <v>47</v>
      </c>
      <c r="B49" s="37" t="s">
        <v>123</v>
      </c>
      <c r="C49" s="7" t="s">
        <v>124</v>
      </c>
      <c r="D49" s="7" t="s">
        <v>32</v>
      </c>
      <c r="E49" s="38"/>
      <c r="F49" s="35">
        <v>44435</v>
      </c>
      <c r="G49" s="19">
        <v>44561</v>
      </c>
      <c r="H49" s="10">
        <v>18196</v>
      </c>
      <c r="I49" s="10">
        <v>18196</v>
      </c>
      <c r="J49" s="10"/>
      <c r="K49" s="56"/>
    </row>
    <row r="50" spans="1:11" ht="96">
      <c r="A50" s="39">
        <f t="shared" si="0"/>
        <v>48</v>
      </c>
      <c r="B50" s="37" t="s">
        <v>125</v>
      </c>
      <c r="C50" s="7" t="s">
        <v>126</v>
      </c>
      <c r="D50" s="7" t="s">
        <v>32</v>
      </c>
      <c r="E50" s="38" t="s">
        <v>127</v>
      </c>
      <c r="F50" s="35">
        <v>44428</v>
      </c>
      <c r="G50" s="19">
        <v>44561</v>
      </c>
      <c r="H50" s="10">
        <v>5700</v>
      </c>
      <c r="I50" s="10">
        <v>5700</v>
      </c>
      <c r="J50" s="10">
        <v>5700</v>
      </c>
      <c r="K50" s="56">
        <v>5700</v>
      </c>
    </row>
    <row r="51" spans="1:11" ht="240">
      <c r="A51" s="39">
        <f t="shared" si="0"/>
        <v>49</v>
      </c>
      <c r="B51" s="37" t="s">
        <v>128</v>
      </c>
      <c r="C51" s="7" t="s">
        <v>129</v>
      </c>
      <c r="D51" s="7" t="s">
        <v>32</v>
      </c>
      <c r="E51" s="38" t="s">
        <v>27</v>
      </c>
      <c r="F51" s="35">
        <v>44435</v>
      </c>
      <c r="G51" s="19">
        <v>44561</v>
      </c>
      <c r="H51" s="10">
        <v>4285</v>
      </c>
      <c r="I51" s="10">
        <v>4285</v>
      </c>
      <c r="J51" s="10">
        <v>4285</v>
      </c>
      <c r="K51" s="56">
        <f>4285</f>
        <v>4285</v>
      </c>
    </row>
    <row r="52" spans="1:11" ht="120">
      <c r="A52" s="39">
        <f t="shared" si="0"/>
        <v>50</v>
      </c>
      <c r="B52" s="37" t="s">
        <v>130</v>
      </c>
      <c r="C52" s="7" t="s">
        <v>131</v>
      </c>
      <c r="D52" s="7" t="s">
        <v>32</v>
      </c>
      <c r="E52" s="38" t="s">
        <v>27</v>
      </c>
      <c r="F52" s="35">
        <v>44460</v>
      </c>
      <c r="G52" s="19">
        <v>44561</v>
      </c>
      <c r="H52" s="10">
        <v>15200</v>
      </c>
      <c r="I52" s="10">
        <v>15200</v>
      </c>
      <c r="J52" s="10">
        <v>15200</v>
      </c>
      <c r="K52" s="56">
        <v>15200</v>
      </c>
    </row>
    <row r="53" spans="1:11" ht="144">
      <c r="A53" s="39">
        <f t="shared" si="0"/>
        <v>51</v>
      </c>
      <c r="B53" s="37" t="s">
        <v>132</v>
      </c>
      <c r="C53" s="7" t="s">
        <v>133</v>
      </c>
      <c r="D53" s="7" t="s">
        <v>32</v>
      </c>
      <c r="E53" s="38" t="s">
        <v>134</v>
      </c>
      <c r="F53" s="35">
        <v>44446</v>
      </c>
      <c r="G53" s="19">
        <v>44561</v>
      </c>
      <c r="H53" s="10">
        <v>4400</v>
      </c>
      <c r="I53" s="10">
        <v>4400</v>
      </c>
      <c r="J53" s="10">
        <v>4400</v>
      </c>
      <c r="K53" s="56">
        <v>4400</v>
      </c>
    </row>
    <row r="54" spans="1:11" ht="216">
      <c r="A54" s="39">
        <f t="shared" si="0"/>
        <v>52</v>
      </c>
      <c r="B54" s="37" t="s">
        <v>135</v>
      </c>
      <c r="C54" s="7" t="s">
        <v>136</v>
      </c>
      <c r="D54" s="7" t="s">
        <v>32</v>
      </c>
      <c r="E54" s="38" t="s">
        <v>27</v>
      </c>
      <c r="F54" s="35">
        <v>44460</v>
      </c>
      <c r="G54" s="19">
        <v>44561</v>
      </c>
      <c r="H54" s="10">
        <v>4940</v>
      </c>
      <c r="I54" s="10">
        <v>4940</v>
      </c>
      <c r="J54" s="10">
        <v>4940</v>
      </c>
      <c r="K54" s="56">
        <v>4940</v>
      </c>
    </row>
    <row r="55" spans="1:11" ht="120">
      <c r="A55" s="39">
        <f t="shared" si="0"/>
        <v>53</v>
      </c>
      <c r="B55" s="37" t="s">
        <v>137</v>
      </c>
      <c r="C55" s="7" t="s">
        <v>138</v>
      </c>
      <c r="D55" s="7" t="s">
        <v>32</v>
      </c>
      <c r="E55" s="38" t="s">
        <v>27</v>
      </c>
      <c r="F55" s="35">
        <v>44531</v>
      </c>
      <c r="G55" s="19">
        <v>44561</v>
      </c>
      <c r="H55" s="10">
        <v>9300</v>
      </c>
      <c r="I55" s="10">
        <v>9300</v>
      </c>
      <c r="J55" s="10">
        <v>9300</v>
      </c>
      <c r="K55" s="56">
        <f>4650+4650</f>
        <v>9300</v>
      </c>
    </row>
    <row r="56" spans="1:11" ht="192">
      <c r="A56" s="39">
        <f t="shared" si="0"/>
        <v>54</v>
      </c>
      <c r="B56" s="37" t="s">
        <v>139</v>
      </c>
      <c r="C56" s="7" t="s">
        <v>140</v>
      </c>
      <c r="D56" s="7" t="s">
        <v>32</v>
      </c>
      <c r="E56" s="38" t="s">
        <v>27</v>
      </c>
      <c r="F56" s="35">
        <v>44466</v>
      </c>
      <c r="G56" s="19">
        <v>44561</v>
      </c>
      <c r="H56" s="10">
        <v>4940</v>
      </c>
      <c r="I56" s="10">
        <v>4940</v>
      </c>
      <c r="J56" s="10">
        <v>4940</v>
      </c>
      <c r="K56" s="56">
        <v>4940</v>
      </c>
    </row>
    <row r="57" spans="1:11" ht="144">
      <c r="A57" s="39">
        <f t="shared" si="0"/>
        <v>55</v>
      </c>
      <c r="B57" s="37" t="s">
        <v>141</v>
      </c>
      <c r="C57" s="7" t="s">
        <v>142</v>
      </c>
      <c r="D57" s="7" t="s">
        <v>32</v>
      </c>
      <c r="E57" s="38" t="s">
        <v>143</v>
      </c>
      <c r="F57" s="35">
        <v>44476</v>
      </c>
      <c r="G57" s="19">
        <v>44561</v>
      </c>
      <c r="H57" s="20">
        <v>19521.599999999999</v>
      </c>
      <c r="I57" s="20">
        <v>19521.599999999999</v>
      </c>
      <c r="J57" s="10">
        <v>21741.599999999999</v>
      </c>
      <c r="K57" s="56">
        <f>19521.6+2220</f>
        <v>21741.599999999999</v>
      </c>
    </row>
    <row r="58" spans="1:11" ht="168">
      <c r="A58" s="39">
        <f t="shared" si="0"/>
        <v>56</v>
      </c>
      <c r="B58" s="37" t="s">
        <v>144</v>
      </c>
      <c r="C58" s="7" t="s">
        <v>145</v>
      </c>
      <c r="D58" s="7" t="s">
        <v>32</v>
      </c>
      <c r="E58" s="38" t="s">
        <v>27</v>
      </c>
      <c r="F58" s="35">
        <v>44487</v>
      </c>
      <c r="G58" s="19">
        <v>44561</v>
      </c>
      <c r="H58" s="10">
        <v>9100</v>
      </c>
      <c r="I58" s="10">
        <v>9100</v>
      </c>
      <c r="J58" s="53"/>
      <c r="K58" s="58"/>
    </row>
    <row r="59" spans="1:11" ht="72">
      <c r="A59" s="39">
        <f t="shared" si="0"/>
        <v>57</v>
      </c>
      <c r="B59" s="37" t="s">
        <v>146</v>
      </c>
      <c r="C59" s="7" t="s">
        <v>147</v>
      </c>
      <c r="D59" s="7" t="s">
        <v>32</v>
      </c>
      <c r="E59" s="38" t="s">
        <v>148</v>
      </c>
      <c r="F59" s="35">
        <v>44480</v>
      </c>
      <c r="G59" s="19">
        <v>44561</v>
      </c>
      <c r="H59" s="10">
        <v>1000</v>
      </c>
      <c r="I59" s="10">
        <v>1000</v>
      </c>
      <c r="J59" s="10">
        <v>1000</v>
      </c>
      <c r="K59" s="56">
        <v>1000</v>
      </c>
    </row>
    <row r="60" spans="1:11" ht="120">
      <c r="A60" s="39">
        <f t="shared" si="0"/>
        <v>58</v>
      </c>
      <c r="B60" s="37" t="s">
        <v>149</v>
      </c>
      <c r="C60" s="7" t="s">
        <v>150</v>
      </c>
      <c r="D60" s="7" t="s">
        <v>32</v>
      </c>
      <c r="E60" s="38" t="s">
        <v>27</v>
      </c>
      <c r="F60" s="35">
        <v>44518</v>
      </c>
      <c r="G60" s="19">
        <v>44561</v>
      </c>
      <c r="H60" s="10">
        <v>4250</v>
      </c>
      <c r="I60" s="10">
        <v>4250</v>
      </c>
      <c r="J60" s="10">
        <v>4250</v>
      </c>
      <c r="K60" s="56">
        <v>4250</v>
      </c>
    </row>
    <row r="61" spans="1:11" ht="120">
      <c r="A61" s="39">
        <f t="shared" si="0"/>
        <v>59</v>
      </c>
      <c r="B61" s="37" t="s">
        <v>149</v>
      </c>
      <c r="C61" s="7" t="s">
        <v>151</v>
      </c>
      <c r="D61" s="7" t="s">
        <v>32</v>
      </c>
      <c r="E61" s="38" t="s">
        <v>148</v>
      </c>
      <c r="F61" s="35">
        <v>44501</v>
      </c>
      <c r="G61" s="19">
        <v>44561</v>
      </c>
      <c r="H61" s="10">
        <v>5500</v>
      </c>
      <c r="I61" s="10">
        <v>5500</v>
      </c>
      <c r="J61" s="10">
        <v>5500</v>
      </c>
      <c r="K61" s="56">
        <v>5500</v>
      </c>
    </row>
    <row r="62" spans="1:11" ht="48">
      <c r="A62" s="39">
        <f t="shared" si="0"/>
        <v>60</v>
      </c>
      <c r="B62" s="37" t="s">
        <v>82</v>
      </c>
      <c r="C62" s="7" t="s">
        <v>152</v>
      </c>
      <c r="D62" s="7" t="s">
        <v>32</v>
      </c>
      <c r="E62" s="38" t="s">
        <v>115</v>
      </c>
      <c r="F62" s="35">
        <v>44509</v>
      </c>
      <c r="G62" s="19">
        <v>44561</v>
      </c>
      <c r="H62" s="10">
        <v>3350</v>
      </c>
      <c r="I62" s="10">
        <v>3350</v>
      </c>
      <c r="J62" s="10">
        <v>3350</v>
      </c>
      <c r="K62" s="56">
        <v>3350</v>
      </c>
    </row>
    <row r="63" spans="1:11" ht="240">
      <c r="A63" s="39">
        <f t="shared" si="0"/>
        <v>61</v>
      </c>
      <c r="B63" s="37" t="s">
        <v>153</v>
      </c>
      <c r="C63" s="7" t="s">
        <v>154</v>
      </c>
      <c r="D63" s="7" t="s">
        <v>32</v>
      </c>
      <c r="E63" s="38" t="s">
        <v>155</v>
      </c>
      <c r="F63" s="35">
        <v>44522</v>
      </c>
      <c r="G63" s="19">
        <v>44561</v>
      </c>
      <c r="H63" s="10">
        <v>46000</v>
      </c>
      <c r="I63" s="10">
        <v>46000</v>
      </c>
      <c r="J63" s="10">
        <v>46000</v>
      </c>
      <c r="K63" s="56">
        <v>46000</v>
      </c>
    </row>
    <row r="64" spans="1:11" ht="192">
      <c r="A64" s="39">
        <f t="shared" si="0"/>
        <v>62</v>
      </c>
      <c r="B64" s="37" t="s">
        <v>156</v>
      </c>
      <c r="C64" s="7" t="s">
        <v>157</v>
      </c>
      <c r="D64" s="7" t="s">
        <v>32</v>
      </c>
      <c r="E64" s="38" t="s">
        <v>27</v>
      </c>
      <c r="F64" s="35">
        <v>44515</v>
      </c>
      <c r="G64" s="19">
        <v>44561</v>
      </c>
      <c r="H64" s="10">
        <v>6925</v>
      </c>
      <c r="I64" s="10">
        <v>6925</v>
      </c>
      <c r="J64" s="10"/>
      <c r="K64" s="56"/>
    </row>
    <row r="65" spans="1:11" ht="192">
      <c r="A65" s="39">
        <f t="shared" si="0"/>
        <v>63</v>
      </c>
      <c r="B65" s="37" t="s">
        <v>158</v>
      </c>
      <c r="C65" s="7" t="s">
        <v>159</v>
      </c>
      <c r="D65" s="7" t="s">
        <v>32</v>
      </c>
      <c r="E65" s="38" t="s">
        <v>155</v>
      </c>
      <c r="F65" s="35">
        <v>44510</v>
      </c>
      <c r="G65" s="19">
        <v>44561</v>
      </c>
      <c r="H65" s="10">
        <v>32600</v>
      </c>
      <c r="I65" s="10">
        <v>32600</v>
      </c>
      <c r="J65" s="10">
        <v>32600</v>
      </c>
      <c r="K65" s="56">
        <v>32600</v>
      </c>
    </row>
    <row r="66" spans="1:11" ht="120">
      <c r="A66" s="39">
        <f t="shared" si="0"/>
        <v>64</v>
      </c>
      <c r="B66" s="37" t="s">
        <v>160</v>
      </c>
      <c r="C66" s="7" t="s">
        <v>161</v>
      </c>
      <c r="D66" s="7" t="s">
        <v>32</v>
      </c>
      <c r="E66" s="38" t="s">
        <v>27</v>
      </c>
      <c r="F66" s="35">
        <v>44530</v>
      </c>
      <c r="G66" s="19">
        <v>44561</v>
      </c>
      <c r="H66" s="10">
        <v>15290</v>
      </c>
      <c r="I66" s="10">
        <v>15290</v>
      </c>
      <c r="J66" s="10">
        <v>15290</v>
      </c>
      <c r="K66" s="56">
        <v>15290</v>
      </c>
    </row>
    <row r="67" spans="1:11" ht="96">
      <c r="A67" s="39">
        <f t="shared" si="0"/>
        <v>65</v>
      </c>
      <c r="B67" s="37" t="s">
        <v>162</v>
      </c>
      <c r="C67" s="7" t="s">
        <v>163</v>
      </c>
      <c r="D67" s="7" t="s">
        <v>32</v>
      </c>
      <c r="E67" s="38" t="s">
        <v>94</v>
      </c>
      <c r="F67" s="35">
        <v>44531</v>
      </c>
      <c r="G67" s="19">
        <v>44561</v>
      </c>
      <c r="H67" s="10">
        <v>16650</v>
      </c>
      <c r="I67" s="10">
        <v>16650</v>
      </c>
      <c r="J67" s="10">
        <v>16650</v>
      </c>
      <c r="K67" s="56">
        <v>16650</v>
      </c>
    </row>
    <row r="68" spans="1:11" ht="96">
      <c r="A68" s="39">
        <f t="shared" si="0"/>
        <v>66</v>
      </c>
      <c r="B68" s="37" t="s">
        <v>164</v>
      </c>
      <c r="C68" s="7" t="s">
        <v>165</v>
      </c>
      <c r="D68" s="7" t="s">
        <v>32</v>
      </c>
      <c r="E68" s="38" t="s">
        <v>27</v>
      </c>
      <c r="F68" s="35">
        <v>44537</v>
      </c>
      <c r="G68" s="19">
        <v>44561</v>
      </c>
      <c r="H68" s="10">
        <v>5200</v>
      </c>
      <c r="I68" s="10">
        <v>5200</v>
      </c>
      <c r="J68" s="10"/>
      <c r="K68" s="56"/>
    </row>
    <row r="69" spans="1:11" ht="73" thickBot="1">
      <c r="A69" s="59">
        <f>A68+1</f>
        <v>67</v>
      </c>
      <c r="B69" s="60" t="s">
        <v>166</v>
      </c>
      <c r="C69" s="30" t="s">
        <v>167</v>
      </c>
      <c r="D69" s="30" t="s">
        <v>26</v>
      </c>
      <c r="E69" s="31" t="s">
        <v>127</v>
      </c>
      <c r="F69" s="32">
        <v>44545</v>
      </c>
      <c r="G69" s="32">
        <v>44561</v>
      </c>
      <c r="H69" s="33">
        <v>17880</v>
      </c>
      <c r="I69" s="33">
        <v>17880</v>
      </c>
      <c r="J69" s="33">
        <v>17880</v>
      </c>
      <c r="K69" s="34"/>
    </row>
    <row r="70" spans="1:11">
      <c r="K70" s="119">
        <f>SUM(K3:K69)</f>
        <v>635093.6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abSelected="1" topLeftCell="A31" zoomScale="55" zoomScaleNormal="55" workbookViewId="0">
      <selection activeCell="E31" sqref="E1:E1048576"/>
    </sheetView>
  </sheetViews>
  <sheetFormatPr baseColWidth="10" defaultColWidth="8.83203125" defaultRowHeight="15"/>
  <cols>
    <col min="1" max="1" width="10.5" bestFit="1" customWidth="1"/>
    <col min="2" max="2" width="81.33203125" customWidth="1"/>
    <col min="3" max="3" width="33.5" customWidth="1"/>
    <col min="4" max="4" width="31.1640625" customWidth="1"/>
    <col min="5" max="5" width="29.5" customWidth="1"/>
    <col min="6" max="6" width="19.5" customWidth="1"/>
    <col min="7" max="7" width="24.5" customWidth="1"/>
    <col min="8" max="8" width="36.6640625" customWidth="1"/>
    <col min="9" max="9" width="37" customWidth="1"/>
    <col min="10" max="10" width="30.83203125" customWidth="1"/>
    <col min="11" max="11" width="26.33203125" customWidth="1"/>
  </cols>
  <sheetData>
    <row r="1" spans="1:11" ht="16" thickBot="1"/>
    <row r="2" spans="1:11" ht="97" thickBot="1">
      <c r="A2" s="1" t="s">
        <v>0</v>
      </c>
      <c r="B2" s="2" t="s">
        <v>1</v>
      </c>
      <c r="C2" s="2" t="s">
        <v>2</v>
      </c>
      <c r="D2" s="3" t="s">
        <v>3</v>
      </c>
      <c r="E2" s="4"/>
      <c r="F2" s="3" t="s">
        <v>4</v>
      </c>
      <c r="G2" s="3" t="s">
        <v>5</v>
      </c>
      <c r="H2" s="5" t="s">
        <v>6</v>
      </c>
      <c r="I2" s="5" t="s">
        <v>7</v>
      </c>
      <c r="J2" s="5" t="s">
        <v>8</v>
      </c>
      <c r="K2" s="11" t="s">
        <v>9</v>
      </c>
    </row>
    <row r="3" spans="1:11" ht="72">
      <c r="A3" s="21">
        <v>1</v>
      </c>
      <c r="B3" s="22" t="s">
        <v>10</v>
      </c>
      <c r="C3" s="23">
        <v>777926</v>
      </c>
      <c r="D3" s="24" t="s">
        <v>11</v>
      </c>
      <c r="E3" s="25"/>
      <c r="F3" s="26">
        <v>43132</v>
      </c>
      <c r="G3" s="26">
        <v>44561</v>
      </c>
      <c r="H3" s="27" t="s">
        <v>12</v>
      </c>
      <c r="I3" s="27">
        <v>1344694.54</v>
      </c>
      <c r="J3" s="28">
        <v>1344694.54</v>
      </c>
      <c r="K3" s="29">
        <f>42510*33.2791-50000-20000</f>
        <v>1344694.541</v>
      </c>
    </row>
    <row r="4" spans="1:11" ht="105">
      <c r="A4" s="6">
        <v>2</v>
      </c>
      <c r="B4" s="16" t="s">
        <v>13</v>
      </c>
      <c r="C4" s="17" t="s">
        <v>14</v>
      </c>
      <c r="D4" s="7" t="s">
        <v>15</v>
      </c>
      <c r="E4" s="18" t="s">
        <v>16</v>
      </c>
      <c r="F4" s="19">
        <v>44131</v>
      </c>
      <c r="G4" s="14" t="s">
        <v>17</v>
      </c>
      <c r="H4" s="10">
        <v>11991000</v>
      </c>
      <c r="I4" s="10">
        <f>1425381/2</f>
        <v>712690.5</v>
      </c>
      <c r="J4" s="10">
        <f>1425381/2</f>
        <v>712690.5</v>
      </c>
      <c r="K4" s="56">
        <v>712690.5</v>
      </c>
    </row>
    <row r="5" spans="1:11" ht="72">
      <c r="A5" s="36">
        <v>3</v>
      </c>
      <c r="B5" s="37" t="s">
        <v>171</v>
      </c>
      <c r="C5" s="7" t="s">
        <v>20</v>
      </c>
      <c r="D5" s="7" t="s">
        <v>172</v>
      </c>
      <c r="E5" s="38" t="s">
        <v>22</v>
      </c>
      <c r="F5" s="15">
        <v>44127</v>
      </c>
      <c r="G5" s="61">
        <v>45222</v>
      </c>
      <c r="H5" s="10" t="s">
        <v>23</v>
      </c>
      <c r="I5" s="10">
        <f>32167.74-8920.64</f>
        <v>23247.100000000002</v>
      </c>
      <c r="J5" s="10">
        <f>32167.74-8920.64</f>
        <v>23247.100000000002</v>
      </c>
      <c r="K5" s="56">
        <f>702141.3-8920.64</f>
        <v>693220.66</v>
      </c>
    </row>
    <row r="6" spans="1:11" ht="48">
      <c r="A6" s="6">
        <v>4</v>
      </c>
      <c r="B6" s="12" t="s">
        <v>173</v>
      </c>
      <c r="C6" s="13" t="s">
        <v>174</v>
      </c>
      <c r="D6" s="47" t="s">
        <v>26</v>
      </c>
      <c r="E6" s="8" t="s">
        <v>27</v>
      </c>
      <c r="F6" s="15">
        <v>43930</v>
      </c>
      <c r="G6" s="15">
        <v>44196</v>
      </c>
      <c r="H6" s="9">
        <v>120000</v>
      </c>
      <c r="I6" s="9">
        <v>120000</v>
      </c>
      <c r="J6" s="10">
        <f>60000+60000</f>
        <v>120000</v>
      </c>
      <c r="K6" s="56">
        <f>60000+60000</f>
        <v>120000</v>
      </c>
    </row>
    <row r="7" spans="1:11" ht="48">
      <c r="A7" s="6">
        <v>5</v>
      </c>
      <c r="B7" s="12" t="s">
        <v>175</v>
      </c>
      <c r="C7" s="13" t="s">
        <v>176</v>
      </c>
      <c r="D7" s="47" t="s">
        <v>26</v>
      </c>
      <c r="E7" s="8" t="s">
        <v>27</v>
      </c>
      <c r="F7" s="15">
        <v>43906</v>
      </c>
      <c r="G7" s="15">
        <v>44196</v>
      </c>
      <c r="H7" s="9">
        <v>27500</v>
      </c>
      <c r="I7" s="9">
        <v>27500</v>
      </c>
      <c r="J7" s="10">
        <f>7500+6250+7500+6250</f>
        <v>27500</v>
      </c>
      <c r="K7" s="56">
        <f>7500+6250+7500+6250</f>
        <v>27500</v>
      </c>
    </row>
    <row r="8" spans="1:11" ht="24">
      <c r="A8" s="6">
        <v>6</v>
      </c>
      <c r="B8" s="12" t="s">
        <v>24</v>
      </c>
      <c r="C8" s="13" t="s">
        <v>25</v>
      </c>
      <c r="D8" s="47" t="s">
        <v>26</v>
      </c>
      <c r="E8" s="48" t="s">
        <v>27</v>
      </c>
      <c r="F8" s="15">
        <v>43902</v>
      </c>
      <c r="G8" s="15">
        <v>44196</v>
      </c>
      <c r="H8" s="9">
        <v>4600</v>
      </c>
      <c r="I8" s="9">
        <v>4600</v>
      </c>
      <c r="J8" s="10">
        <f>1150+1150+1150+1150</f>
        <v>4600</v>
      </c>
      <c r="K8" s="56">
        <f>1150+1150+1150</f>
        <v>3450</v>
      </c>
    </row>
    <row r="9" spans="1:11" ht="72">
      <c r="A9" s="6">
        <v>7</v>
      </c>
      <c r="B9" s="12" t="s">
        <v>177</v>
      </c>
      <c r="C9" s="13" t="s">
        <v>178</v>
      </c>
      <c r="D9" s="47" t="s">
        <v>26</v>
      </c>
      <c r="E9" s="38" t="s">
        <v>179</v>
      </c>
      <c r="F9" s="15">
        <v>43930</v>
      </c>
      <c r="G9" s="15">
        <v>44196</v>
      </c>
      <c r="H9" s="9">
        <v>11600</v>
      </c>
      <c r="I9" s="9">
        <v>11600</v>
      </c>
      <c r="J9" s="10">
        <v>11600</v>
      </c>
      <c r="K9" s="56">
        <f>6000+5600</f>
        <v>11600</v>
      </c>
    </row>
    <row r="10" spans="1:11" ht="72">
      <c r="A10" s="6">
        <v>8</v>
      </c>
      <c r="B10" s="12" t="s">
        <v>180</v>
      </c>
      <c r="C10" s="13" t="s">
        <v>181</v>
      </c>
      <c r="D10" s="47" t="s">
        <v>26</v>
      </c>
      <c r="E10" s="48" t="s">
        <v>45</v>
      </c>
      <c r="F10" s="15">
        <v>43992</v>
      </c>
      <c r="G10" s="15">
        <v>44196</v>
      </c>
      <c r="H10" s="9">
        <v>3800</v>
      </c>
      <c r="I10" s="9">
        <v>3800</v>
      </c>
      <c r="J10" s="10">
        <v>3800</v>
      </c>
      <c r="K10" s="56">
        <v>3800</v>
      </c>
    </row>
    <row r="11" spans="1:11" ht="144">
      <c r="A11" s="6">
        <v>9</v>
      </c>
      <c r="B11" s="12" t="s">
        <v>182</v>
      </c>
      <c r="C11" s="13" t="s">
        <v>183</v>
      </c>
      <c r="D11" s="47" t="s">
        <v>26</v>
      </c>
      <c r="E11" s="48" t="s">
        <v>27</v>
      </c>
      <c r="F11" s="15">
        <v>43983</v>
      </c>
      <c r="G11" s="15">
        <v>44104</v>
      </c>
      <c r="H11" s="9">
        <v>1500</v>
      </c>
      <c r="I11" s="9">
        <v>1500</v>
      </c>
      <c r="J11" s="10">
        <f>1000+500</f>
        <v>1500</v>
      </c>
      <c r="K11" s="56">
        <f>1000+500</f>
        <v>1500</v>
      </c>
    </row>
    <row r="12" spans="1:11" ht="216">
      <c r="A12" s="6">
        <v>10</v>
      </c>
      <c r="B12" s="12" t="s">
        <v>184</v>
      </c>
      <c r="C12" s="13" t="s">
        <v>185</v>
      </c>
      <c r="D12" s="47" t="s">
        <v>26</v>
      </c>
      <c r="E12" s="48" t="s">
        <v>27</v>
      </c>
      <c r="F12" s="15">
        <v>44021</v>
      </c>
      <c r="G12" s="15">
        <v>44196</v>
      </c>
      <c r="H12" s="9">
        <v>2400</v>
      </c>
      <c r="I12" s="9">
        <v>2400</v>
      </c>
      <c r="J12" s="10">
        <f>1550+850</f>
        <v>2400</v>
      </c>
      <c r="K12" s="56">
        <f>1550+850</f>
        <v>2400</v>
      </c>
    </row>
    <row r="13" spans="1:11" ht="144">
      <c r="A13" s="6">
        <v>11</v>
      </c>
      <c r="B13" s="12" t="s">
        <v>186</v>
      </c>
      <c r="C13" s="13" t="s">
        <v>187</v>
      </c>
      <c r="D13" s="47" t="s">
        <v>26</v>
      </c>
      <c r="E13" s="48" t="s">
        <v>27</v>
      </c>
      <c r="F13" s="15">
        <v>44033</v>
      </c>
      <c r="G13" s="15">
        <v>44196</v>
      </c>
      <c r="H13" s="9">
        <v>700</v>
      </c>
      <c r="I13" s="9">
        <v>700</v>
      </c>
      <c r="J13" s="10">
        <v>700</v>
      </c>
      <c r="K13" s="56">
        <v>700</v>
      </c>
    </row>
    <row r="14" spans="1:11" ht="192">
      <c r="A14" s="6">
        <v>12</v>
      </c>
      <c r="B14" s="12" t="s">
        <v>188</v>
      </c>
      <c r="C14" s="13" t="s">
        <v>189</v>
      </c>
      <c r="D14" s="47" t="s">
        <v>26</v>
      </c>
      <c r="E14" s="48" t="s">
        <v>27</v>
      </c>
      <c r="F14" s="15">
        <v>44013</v>
      </c>
      <c r="G14" s="15">
        <v>44104</v>
      </c>
      <c r="H14" s="9">
        <v>1770</v>
      </c>
      <c r="I14" s="9">
        <v>1770</v>
      </c>
      <c r="J14" s="10">
        <v>1770</v>
      </c>
      <c r="K14" s="56">
        <v>1770</v>
      </c>
    </row>
    <row r="15" spans="1:11" ht="192">
      <c r="A15" s="6">
        <v>13</v>
      </c>
      <c r="B15" s="12" t="s">
        <v>190</v>
      </c>
      <c r="C15" s="13" t="s">
        <v>191</v>
      </c>
      <c r="D15" s="47" t="s">
        <v>26</v>
      </c>
      <c r="E15" s="48" t="s">
        <v>27</v>
      </c>
      <c r="F15" s="15">
        <v>44020</v>
      </c>
      <c r="G15" s="15">
        <v>44196</v>
      </c>
      <c r="H15" s="9">
        <v>2300</v>
      </c>
      <c r="I15" s="9">
        <v>2300</v>
      </c>
      <c r="J15" s="10">
        <v>2300</v>
      </c>
      <c r="K15" s="56">
        <v>2300</v>
      </c>
    </row>
    <row r="16" spans="1:11" ht="120">
      <c r="A16" s="6">
        <v>14</v>
      </c>
      <c r="B16" s="12" t="s">
        <v>192</v>
      </c>
      <c r="C16" s="13" t="s">
        <v>193</v>
      </c>
      <c r="D16" s="47" t="s">
        <v>26</v>
      </c>
      <c r="E16" s="48" t="s">
        <v>27</v>
      </c>
      <c r="F16" s="15">
        <v>44021</v>
      </c>
      <c r="G16" s="15">
        <v>44104</v>
      </c>
      <c r="H16" s="9">
        <v>1950</v>
      </c>
      <c r="I16" s="9">
        <v>1950</v>
      </c>
      <c r="J16" s="10">
        <v>1950</v>
      </c>
      <c r="K16" s="56">
        <v>1950</v>
      </c>
    </row>
    <row r="17" spans="1:11" ht="120">
      <c r="A17" s="6">
        <v>15</v>
      </c>
      <c r="B17" s="12" t="s">
        <v>194</v>
      </c>
      <c r="C17" s="13" t="s">
        <v>195</v>
      </c>
      <c r="D17" s="47" t="s">
        <v>26</v>
      </c>
      <c r="E17" s="48" t="s">
        <v>27</v>
      </c>
      <c r="F17" s="15">
        <v>44026</v>
      </c>
      <c r="G17" s="15">
        <v>44104</v>
      </c>
      <c r="H17" s="9">
        <v>850</v>
      </c>
      <c r="I17" s="9">
        <v>850</v>
      </c>
      <c r="J17" s="10">
        <v>850</v>
      </c>
      <c r="K17" s="56">
        <v>850</v>
      </c>
    </row>
    <row r="18" spans="1:11" ht="120">
      <c r="A18" s="6">
        <v>16</v>
      </c>
      <c r="B18" s="12" t="s">
        <v>196</v>
      </c>
      <c r="C18" s="13" t="s">
        <v>197</v>
      </c>
      <c r="D18" s="47" t="s">
        <v>26</v>
      </c>
      <c r="E18" s="48" t="s">
        <v>27</v>
      </c>
      <c r="F18" s="15">
        <v>44062</v>
      </c>
      <c r="G18" s="15">
        <v>44196</v>
      </c>
      <c r="H18" s="9">
        <v>250</v>
      </c>
      <c r="I18" s="9">
        <v>250</v>
      </c>
      <c r="J18" s="10">
        <v>250</v>
      </c>
      <c r="K18" s="56">
        <v>250</v>
      </c>
    </row>
    <row r="19" spans="1:11" ht="120">
      <c r="A19" s="6">
        <v>17</v>
      </c>
      <c r="B19" s="12" t="s">
        <v>198</v>
      </c>
      <c r="C19" s="13" t="s">
        <v>199</v>
      </c>
      <c r="D19" s="47" t="s">
        <v>26</v>
      </c>
      <c r="E19" s="48" t="s">
        <v>27</v>
      </c>
      <c r="F19" s="15">
        <v>44062</v>
      </c>
      <c r="G19" s="15">
        <v>44196</v>
      </c>
      <c r="H19" s="9">
        <v>850</v>
      </c>
      <c r="I19" s="9">
        <v>850</v>
      </c>
      <c r="J19" s="10">
        <v>850</v>
      </c>
      <c r="K19" s="56">
        <v>850</v>
      </c>
    </row>
    <row r="20" spans="1:11" ht="72">
      <c r="A20" s="6">
        <v>18</v>
      </c>
      <c r="B20" s="12" t="s">
        <v>200</v>
      </c>
      <c r="C20" s="13" t="s">
        <v>201</v>
      </c>
      <c r="D20" s="47" t="s">
        <v>26</v>
      </c>
      <c r="E20" s="48" t="s">
        <v>94</v>
      </c>
      <c r="F20" s="15">
        <v>44013</v>
      </c>
      <c r="G20" s="15">
        <v>44196</v>
      </c>
      <c r="H20" s="9">
        <v>4800</v>
      </c>
      <c r="I20" s="9">
        <v>4800</v>
      </c>
      <c r="J20" s="10">
        <v>4800</v>
      </c>
      <c r="K20" s="56">
        <v>4800</v>
      </c>
    </row>
    <row r="21" spans="1:11" ht="72">
      <c r="A21" s="6">
        <v>19</v>
      </c>
      <c r="B21" s="12" t="s">
        <v>202</v>
      </c>
      <c r="C21" s="13" t="s">
        <v>203</v>
      </c>
      <c r="D21" s="47" t="s">
        <v>26</v>
      </c>
      <c r="E21" s="48" t="s">
        <v>134</v>
      </c>
      <c r="F21" s="15">
        <v>44013</v>
      </c>
      <c r="G21" s="15">
        <v>44196</v>
      </c>
      <c r="H21" s="9">
        <v>12750</v>
      </c>
      <c r="I21" s="9">
        <v>12750</v>
      </c>
      <c r="J21" s="10">
        <v>12750</v>
      </c>
      <c r="K21" s="56">
        <v>12750</v>
      </c>
    </row>
    <row r="22" spans="1:11" ht="96">
      <c r="A22" s="6">
        <v>20</v>
      </c>
      <c r="B22" s="12" t="s">
        <v>28</v>
      </c>
      <c r="C22" s="13" t="s">
        <v>29</v>
      </c>
      <c r="D22" s="47" t="s">
        <v>26</v>
      </c>
      <c r="E22" s="48" t="s">
        <v>27</v>
      </c>
      <c r="F22" s="15">
        <v>44013</v>
      </c>
      <c r="G22" s="15">
        <v>44196</v>
      </c>
      <c r="H22" s="9">
        <v>6600</v>
      </c>
      <c r="I22" s="9">
        <f>4400+2200</f>
        <v>6600</v>
      </c>
      <c r="J22" s="10">
        <f>4400+2200</f>
        <v>6600</v>
      </c>
      <c r="K22" s="56">
        <v>4400</v>
      </c>
    </row>
    <row r="23" spans="1:11" ht="72">
      <c r="A23" s="6">
        <v>21</v>
      </c>
      <c r="B23" s="12" t="s">
        <v>204</v>
      </c>
      <c r="C23" s="13" t="s">
        <v>205</v>
      </c>
      <c r="D23" s="47" t="s">
        <v>206</v>
      </c>
      <c r="E23" s="48" t="s">
        <v>27</v>
      </c>
      <c r="F23" s="15">
        <v>44083</v>
      </c>
      <c r="G23" s="15">
        <v>44196</v>
      </c>
      <c r="H23" s="9">
        <v>12120</v>
      </c>
      <c r="I23" s="9">
        <v>12120</v>
      </c>
      <c r="J23" s="10">
        <v>12120</v>
      </c>
      <c r="K23" s="56">
        <v>12120</v>
      </c>
    </row>
    <row r="24" spans="1:11" ht="192">
      <c r="A24" s="6">
        <v>22</v>
      </c>
      <c r="B24" s="12" t="s">
        <v>207</v>
      </c>
      <c r="C24" s="13" t="s">
        <v>208</v>
      </c>
      <c r="D24" s="47" t="s">
        <v>26</v>
      </c>
      <c r="E24" s="48" t="s">
        <v>27</v>
      </c>
      <c r="F24" s="15">
        <v>44056</v>
      </c>
      <c r="G24" s="15">
        <v>44196</v>
      </c>
      <c r="H24" s="9">
        <v>4440</v>
      </c>
      <c r="I24" s="9">
        <v>4440</v>
      </c>
      <c r="J24" s="10">
        <v>4440</v>
      </c>
      <c r="K24" s="56">
        <v>4440</v>
      </c>
    </row>
    <row r="25" spans="1:11" ht="96">
      <c r="A25" s="6">
        <v>23</v>
      </c>
      <c r="B25" s="12" t="s">
        <v>209</v>
      </c>
      <c r="C25" s="13" t="s">
        <v>210</v>
      </c>
      <c r="D25" s="47" t="s">
        <v>26</v>
      </c>
      <c r="E25" s="48" t="s">
        <v>27</v>
      </c>
      <c r="F25" s="15">
        <v>44083</v>
      </c>
      <c r="G25" s="15">
        <v>44196</v>
      </c>
      <c r="H25" s="9">
        <v>7680</v>
      </c>
      <c r="I25" s="9">
        <v>7680</v>
      </c>
      <c r="J25" s="9">
        <v>7680</v>
      </c>
      <c r="K25" s="62">
        <v>7680</v>
      </c>
    </row>
    <row r="26" spans="1:11" ht="72">
      <c r="A26" s="6">
        <v>24</v>
      </c>
      <c r="B26" s="12" t="s">
        <v>211</v>
      </c>
      <c r="C26" s="13" t="s">
        <v>212</v>
      </c>
      <c r="D26" s="47" t="s">
        <v>26</v>
      </c>
      <c r="E26" s="48" t="s">
        <v>27</v>
      </c>
      <c r="F26" s="15">
        <v>44138</v>
      </c>
      <c r="G26" s="15">
        <v>44196</v>
      </c>
      <c r="H26" s="9">
        <v>14900</v>
      </c>
      <c r="I26" s="9">
        <v>14900</v>
      </c>
      <c r="J26" s="9">
        <v>14900</v>
      </c>
      <c r="K26" s="62">
        <v>14900</v>
      </c>
    </row>
    <row r="27" spans="1:11" ht="24">
      <c r="A27" s="6">
        <v>25</v>
      </c>
      <c r="B27" s="12"/>
      <c r="C27" s="13" t="s">
        <v>213</v>
      </c>
      <c r="D27" s="47" t="s">
        <v>26</v>
      </c>
      <c r="E27" s="48" t="s">
        <v>27</v>
      </c>
      <c r="F27" s="15">
        <v>44181</v>
      </c>
      <c r="G27" s="15">
        <v>44196</v>
      </c>
      <c r="H27" s="9">
        <v>12100</v>
      </c>
      <c r="I27" s="9">
        <v>12100</v>
      </c>
      <c r="J27" s="10">
        <v>12100</v>
      </c>
      <c r="K27" s="56">
        <v>12100</v>
      </c>
    </row>
    <row r="28" spans="1:11" ht="48">
      <c r="A28" s="6">
        <v>26</v>
      </c>
      <c r="B28" s="12" t="s">
        <v>214</v>
      </c>
      <c r="C28" s="13" t="s">
        <v>215</v>
      </c>
      <c r="D28" s="47" t="s">
        <v>26</v>
      </c>
      <c r="E28" s="48" t="s">
        <v>216</v>
      </c>
      <c r="F28" s="15">
        <v>44170</v>
      </c>
      <c r="G28" s="15">
        <v>44196</v>
      </c>
      <c r="H28" s="9">
        <v>40400</v>
      </c>
      <c r="I28" s="9">
        <v>40400</v>
      </c>
      <c r="J28" s="9">
        <v>40400</v>
      </c>
      <c r="K28" s="62">
        <v>40400</v>
      </c>
    </row>
    <row r="29" spans="1:11" ht="192">
      <c r="A29" s="6">
        <v>27</v>
      </c>
      <c r="B29" s="12" t="s">
        <v>217</v>
      </c>
      <c r="C29" s="13">
        <v>178</v>
      </c>
      <c r="D29" s="47" t="s">
        <v>26</v>
      </c>
      <c r="E29" s="48" t="s">
        <v>27</v>
      </c>
      <c r="F29" s="15">
        <v>44056</v>
      </c>
      <c r="G29" s="15">
        <v>44196</v>
      </c>
      <c r="H29" s="9">
        <v>2450</v>
      </c>
      <c r="I29" s="9">
        <v>2450</v>
      </c>
      <c r="J29" s="10">
        <v>2450</v>
      </c>
      <c r="K29" s="56">
        <v>2450</v>
      </c>
    </row>
    <row r="30" spans="1:11" ht="48">
      <c r="A30" s="6">
        <v>28</v>
      </c>
      <c r="B30" s="37" t="s">
        <v>218</v>
      </c>
      <c r="C30" s="17" t="s">
        <v>219</v>
      </c>
      <c r="D30" s="7" t="s">
        <v>220</v>
      </c>
      <c r="E30" s="38" t="s">
        <v>115</v>
      </c>
      <c r="F30" s="15">
        <v>43758</v>
      </c>
      <c r="G30" s="61">
        <v>44196</v>
      </c>
      <c r="H30" s="10">
        <v>57000</v>
      </c>
      <c r="I30" s="10">
        <f>57000-46700</f>
        <v>10300</v>
      </c>
      <c r="J30" s="10"/>
      <c r="K30" s="56">
        <v>10300</v>
      </c>
    </row>
    <row r="31" spans="1:11" ht="144">
      <c r="A31" s="65">
        <v>29</v>
      </c>
      <c r="B31" s="37" t="s">
        <v>221</v>
      </c>
      <c r="C31" s="17" t="s">
        <v>222</v>
      </c>
      <c r="D31" s="7" t="s">
        <v>223</v>
      </c>
      <c r="E31" s="38" t="s">
        <v>224</v>
      </c>
      <c r="F31" s="15">
        <v>43850</v>
      </c>
      <c r="G31" s="61">
        <v>44196</v>
      </c>
      <c r="H31" s="10">
        <v>14800</v>
      </c>
      <c r="I31" s="10">
        <v>1776</v>
      </c>
      <c r="J31" s="10">
        <v>1776</v>
      </c>
      <c r="K31" s="56">
        <v>1776</v>
      </c>
    </row>
    <row r="32" spans="1:11" ht="144">
      <c r="A32" s="65">
        <v>30</v>
      </c>
      <c r="B32" s="37" t="s">
        <v>225</v>
      </c>
      <c r="C32" s="17" t="s">
        <v>226</v>
      </c>
      <c r="D32" s="7" t="s">
        <v>227</v>
      </c>
      <c r="E32" s="38" t="s">
        <v>27</v>
      </c>
      <c r="F32" s="15">
        <v>43875</v>
      </c>
      <c r="G32" s="61">
        <v>44196</v>
      </c>
      <c r="H32" s="10">
        <v>27100</v>
      </c>
      <c r="I32" s="10">
        <v>11111</v>
      </c>
      <c r="J32" s="10">
        <v>11111</v>
      </c>
      <c r="K32" s="56">
        <v>11111</v>
      </c>
    </row>
    <row r="33" spans="1:11" ht="48">
      <c r="A33" s="65">
        <v>31</v>
      </c>
      <c r="B33" s="37" t="s">
        <v>228</v>
      </c>
      <c r="C33" s="17" t="s">
        <v>229</v>
      </c>
      <c r="D33" s="7" t="s">
        <v>223</v>
      </c>
      <c r="E33" s="38" t="s">
        <v>127</v>
      </c>
      <c r="F33" s="15">
        <v>43892</v>
      </c>
      <c r="G33" s="61">
        <v>44196</v>
      </c>
      <c r="H33" s="10">
        <v>20400</v>
      </c>
      <c r="I33" s="10">
        <v>10812</v>
      </c>
      <c r="J33" s="10">
        <v>10812</v>
      </c>
      <c r="K33" s="56">
        <v>10812</v>
      </c>
    </row>
    <row r="34" spans="1:11" ht="144">
      <c r="A34" s="65">
        <v>32</v>
      </c>
      <c r="B34" s="37" t="s">
        <v>230</v>
      </c>
      <c r="C34" s="17" t="s">
        <v>231</v>
      </c>
      <c r="D34" s="7" t="s">
        <v>223</v>
      </c>
      <c r="E34" s="38" t="s">
        <v>27</v>
      </c>
      <c r="F34" s="15">
        <v>43896</v>
      </c>
      <c r="G34" s="61">
        <v>44196</v>
      </c>
      <c r="H34" s="10">
        <v>6800</v>
      </c>
      <c r="I34" s="10">
        <v>816</v>
      </c>
      <c r="J34" s="10">
        <v>816</v>
      </c>
      <c r="K34" s="56">
        <v>816</v>
      </c>
    </row>
    <row r="35" spans="1:11" ht="168">
      <c r="A35" s="65">
        <v>33</v>
      </c>
      <c r="B35" s="37" t="s">
        <v>232</v>
      </c>
      <c r="C35" s="17" t="s">
        <v>233</v>
      </c>
      <c r="D35" s="7" t="s">
        <v>223</v>
      </c>
      <c r="E35" s="38" t="s">
        <v>27</v>
      </c>
      <c r="F35" s="15">
        <v>44028</v>
      </c>
      <c r="G35" s="61">
        <v>44196</v>
      </c>
      <c r="H35" s="10">
        <v>6800</v>
      </c>
      <c r="I35" s="10">
        <v>816</v>
      </c>
      <c r="J35" s="10">
        <v>816</v>
      </c>
      <c r="K35" s="56">
        <v>816</v>
      </c>
    </row>
    <row r="36" spans="1:11" ht="72">
      <c r="A36" s="6">
        <v>34</v>
      </c>
      <c r="B36" s="12" t="s">
        <v>234</v>
      </c>
      <c r="C36" s="13" t="s">
        <v>235</v>
      </c>
      <c r="D36" s="47" t="s">
        <v>26</v>
      </c>
      <c r="E36" s="48" t="s">
        <v>27</v>
      </c>
      <c r="F36" s="15">
        <v>43815</v>
      </c>
      <c r="G36" s="15">
        <v>43830</v>
      </c>
      <c r="H36" s="9">
        <v>12100</v>
      </c>
      <c r="I36" s="9">
        <v>12100</v>
      </c>
      <c r="J36" s="10"/>
      <c r="K36" s="56">
        <v>12100</v>
      </c>
    </row>
    <row r="37" spans="1:11" ht="24" thickBot="1">
      <c r="A37" s="115" t="s">
        <v>236</v>
      </c>
      <c r="B37" s="116"/>
      <c r="C37" s="116"/>
      <c r="D37" s="116"/>
      <c r="E37" s="116"/>
      <c r="F37" s="116"/>
      <c r="G37" s="116"/>
      <c r="H37" s="117"/>
      <c r="I37" s="63">
        <f>SUM(I3:I36)</f>
        <v>2426673.14</v>
      </c>
      <c r="J37" s="63">
        <f>SUM(J3:J36)</f>
        <v>2404273.14</v>
      </c>
      <c r="K37" s="64">
        <f>SUM(K3:K36)</f>
        <v>3093296.7009999999</v>
      </c>
    </row>
  </sheetData>
  <mergeCells count="1">
    <mergeCell ref="A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Maksym Pogorielov</cp:lastModifiedBy>
  <dcterms:created xsi:type="dcterms:W3CDTF">2025-03-14T07:52:24Z</dcterms:created>
  <dcterms:modified xsi:type="dcterms:W3CDTF">2025-03-24T11:19:59Z</dcterms:modified>
</cp:coreProperties>
</file>